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1570" windowHeight="9315"/>
  </bookViews>
  <sheets>
    <sheet name="使い方" sheetId="2" r:id="rId1"/>
    <sheet name="入力" sheetId="1" r:id="rId2"/>
    <sheet name="初降伏" sheetId="3" r:id="rId3"/>
    <sheet name="終局2" sheetId="4" r:id="rId4"/>
    <sheet name="終局3-1" sheetId="5" r:id="rId5"/>
    <sheet name="終局3-2" sheetId="6" r:id="rId6"/>
    <sheet name="結果" sheetId="7" r:id="rId7"/>
  </sheets>
  <definedNames>
    <definedName name="solver_adj" localSheetId="3" hidden="1">終局2!$B$15</definedName>
    <definedName name="solver_adj" localSheetId="4" hidden="1">'終局3-1'!$B$15</definedName>
    <definedName name="solver_adj" localSheetId="2" hidden="1">初降伏!$B$15</definedName>
    <definedName name="solver_cvg" localSheetId="3" hidden="1">0.0001</definedName>
    <definedName name="solver_cvg" localSheetId="4" hidden="1">0.0001</definedName>
    <definedName name="solver_cvg" localSheetId="2" hidden="1">0.0001</definedName>
    <definedName name="solver_drv" localSheetId="3" hidden="1">1</definedName>
    <definedName name="solver_drv" localSheetId="4" hidden="1">2</definedName>
    <definedName name="solver_drv" localSheetId="2" hidden="1">1</definedName>
    <definedName name="solver_eng" localSheetId="3" hidden="1">1</definedName>
    <definedName name="solver_eng" localSheetId="4" hidden="1">1</definedName>
    <definedName name="solver_eng" localSheetId="2" hidden="1">1</definedName>
    <definedName name="solver_est" localSheetId="3" hidden="1">1</definedName>
    <definedName name="solver_est" localSheetId="4" hidden="1">1</definedName>
    <definedName name="solver_est" localSheetId="2" hidden="1">1</definedName>
    <definedName name="solver_itr" localSheetId="3" hidden="1">2147483647</definedName>
    <definedName name="solver_itr" localSheetId="4" hidden="1">2147483647</definedName>
    <definedName name="solver_itr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2" hidden="1">2147483647</definedName>
    <definedName name="solver_mni" localSheetId="3" hidden="1">30</definedName>
    <definedName name="solver_mni" localSheetId="4" hidden="1">30</definedName>
    <definedName name="solver_mni" localSheetId="2" hidden="1">30</definedName>
    <definedName name="solver_mrt" localSheetId="3" hidden="1">0.075</definedName>
    <definedName name="solver_mrt" localSheetId="4" hidden="1">0.075</definedName>
    <definedName name="solver_mrt" localSheetId="2" hidden="1">0.075</definedName>
    <definedName name="solver_msl" localSheetId="3" hidden="1">2</definedName>
    <definedName name="solver_msl" localSheetId="4" hidden="1">2</definedName>
    <definedName name="solver_msl" localSheetId="2" hidden="1">2</definedName>
    <definedName name="solver_neg" localSheetId="3" hidden="1">2</definedName>
    <definedName name="solver_neg" localSheetId="4" hidden="1">1</definedName>
    <definedName name="solver_neg" localSheetId="2" hidden="1">1</definedName>
    <definedName name="solver_nod" localSheetId="3" hidden="1">2147483647</definedName>
    <definedName name="solver_nod" localSheetId="4" hidden="1">2147483647</definedName>
    <definedName name="solver_nod" localSheetId="2" hidden="1">2147483647</definedName>
    <definedName name="solver_num" localSheetId="3" hidden="1">0</definedName>
    <definedName name="solver_num" localSheetId="4" hidden="1">0</definedName>
    <definedName name="solver_num" localSheetId="2" hidden="1">0</definedName>
    <definedName name="solver_nwt" localSheetId="3" hidden="1">1</definedName>
    <definedName name="solver_nwt" localSheetId="4" hidden="1">1</definedName>
    <definedName name="solver_nwt" localSheetId="2" hidden="1">1</definedName>
    <definedName name="solver_opt" localSheetId="3" hidden="1">終局2!$B$7</definedName>
    <definedName name="solver_opt" localSheetId="4" hidden="1">'終局3-1'!$B$7</definedName>
    <definedName name="solver_opt" localSheetId="2" hidden="1">初降伏!$B$7</definedName>
    <definedName name="solver_pre" localSheetId="3" hidden="1">0.0000001</definedName>
    <definedName name="solver_pre" localSheetId="4" hidden="1">0.0000001</definedName>
    <definedName name="solver_pre" localSheetId="2" hidden="1">0.0000001</definedName>
    <definedName name="solver_rbv" localSheetId="3" hidden="1">1</definedName>
    <definedName name="solver_rbv" localSheetId="4" hidden="1">2</definedName>
    <definedName name="solver_rbv" localSheetId="2" hidden="1">1</definedName>
    <definedName name="solver_rlx" localSheetId="3" hidden="1">2</definedName>
    <definedName name="solver_rlx" localSheetId="4" hidden="1">2</definedName>
    <definedName name="solver_rlx" localSheetId="2" hidden="1">2</definedName>
    <definedName name="solver_rsd" localSheetId="3" hidden="1">0</definedName>
    <definedName name="solver_rsd" localSheetId="4" hidden="1">0</definedName>
    <definedName name="solver_rsd" localSheetId="2" hidden="1">0</definedName>
    <definedName name="solver_scl" localSheetId="3" hidden="1">1</definedName>
    <definedName name="solver_scl" localSheetId="4" hidden="1">2</definedName>
    <definedName name="solver_scl" localSheetId="2" hidden="1">1</definedName>
    <definedName name="solver_sho" localSheetId="3" hidden="1">2</definedName>
    <definedName name="solver_sho" localSheetId="4" hidden="1">2</definedName>
    <definedName name="solver_sho" localSheetId="2" hidden="1">2</definedName>
    <definedName name="solver_ssz" localSheetId="3" hidden="1">100</definedName>
    <definedName name="solver_ssz" localSheetId="4" hidden="1">100</definedName>
    <definedName name="solver_ssz" localSheetId="2" hidden="1">100</definedName>
    <definedName name="solver_tim" localSheetId="3" hidden="1">2147483647</definedName>
    <definedName name="solver_tim" localSheetId="4" hidden="1">2147483647</definedName>
    <definedName name="solver_tim" localSheetId="2" hidden="1">2147483647</definedName>
    <definedName name="solver_tol" localSheetId="3" hidden="1">0.01</definedName>
    <definedName name="solver_tol" localSheetId="4" hidden="1">0.01</definedName>
    <definedName name="solver_tol" localSheetId="2" hidden="1">0.01</definedName>
    <definedName name="solver_typ" localSheetId="3" hidden="1">3</definedName>
    <definedName name="solver_typ" localSheetId="4" hidden="1">3</definedName>
    <definedName name="solver_typ" localSheetId="2" hidden="1">3</definedName>
    <definedName name="solver_val" localSheetId="3" hidden="1">0</definedName>
    <definedName name="solver_val" localSheetId="4" hidden="1">0</definedName>
    <definedName name="solver_val" localSheetId="2" hidden="1">0</definedName>
    <definedName name="solver_ver" localSheetId="3" hidden="1">3</definedName>
    <definedName name="solver_ver" localSheetId="4" hidden="1">3</definedName>
    <definedName name="solver_ver" localSheetId="2" hidden="1">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W2" i="1"/>
  <c r="L26" i="1"/>
  <c r="M26" i="1"/>
  <c r="L27" i="1"/>
  <c r="M27" i="1"/>
  <c r="L28" i="1"/>
  <c r="M28" i="1"/>
  <c r="L29" i="1"/>
  <c r="M29" i="1"/>
  <c r="L2" i="1"/>
  <c r="M2" i="1"/>
  <c r="L3" i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Y2" i="1"/>
  <c r="AF2" i="1"/>
  <c r="AG2" i="1"/>
  <c r="AI2" i="1"/>
  <c r="E2" i="5"/>
  <c r="H9" i="1"/>
  <c r="H10" i="1"/>
  <c r="H11" i="1"/>
  <c r="H12" i="1"/>
  <c r="H13" i="1"/>
  <c r="H14" i="1"/>
  <c r="H18" i="1"/>
  <c r="B3" i="5"/>
  <c r="X2" i="1"/>
  <c r="D2" i="5"/>
  <c r="B2" i="5"/>
  <c r="F2" i="5"/>
  <c r="G2" i="5"/>
  <c r="H2" i="5"/>
  <c r="I2" i="5"/>
  <c r="W3" i="1"/>
  <c r="X3" i="1"/>
  <c r="Y3" i="1"/>
  <c r="AF3" i="1"/>
  <c r="AG3" i="1"/>
  <c r="AI3" i="1"/>
  <c r="E3" i="5"/>
  <c r="D3" i="5"/>
  <c r="F3" i="5"/>
  <c r="G3" i="5"/>
  <c r="H3" i="5"/>
  <c r="I3" i="5"/>
  <c r="W4" i="1"/>
  <c r="X4" i="1"/>
  <c r="Y4" i="1"/>
  <c r="AF4" i="1"/>
  <c r="AG4" i="1"/>
  <c r="AI4" i="1"/>
  <c r="E4" i="5"/>
  <c r="D4" i="5"/>
  <c r="F4" i="5"/>
  <c r="G4" i="5"/>
  <c r="H4" i="5"/>
  <c r="I4" i="5"/>
  <c r="W5" i="1"/>
  <c r="X5" i="1"/>
  <c r="Y5" i="1"/>
  <c r="AA5" i="1"/>
  <c r="R2" i="1"/>
  <c r="Z5" i="1"/>
  <c r="N2" i="1"/>
  <c r="AB5" i="1"/>
  <c r="AC5" i="1"/>
  <c r="AD5" i="1"/>
  <c r="AE5" i="1"/>
  <c r="AF5" i="1"/>
  <c r="AG5" i="1"/>
  <c r="AI5" i="1"/>
  <c r="E5" i="5"/>
  <c r="D5" i="5"/>
  <c r="F5" i="5"/>
  <c r="G5" i="5"/>
  <c r="H5" i="5"/>
  <c r="I5" i="5"/>
  <c r="W6" i="1"/>
  <c r="X6" i="1"/>
  <c r="Y6" i="1"/>
  <c r="AA6" i="1"/>
  <c r="Z6" i="1"/>
  <c r="AB6" i="1"/>
  <c r="P2" i="1"/>
  <c r="Q2" i="1"/>
  <c r="N3" i="1"/>
  <c r="P3" i="1"/>
  <c r="Q3" i="1"/>
  <c r="N4" i="1"/>
  <c r="P4" i="1"/>
  <c r="Q4" i="1"/>
  <c r="N5" i="1"/>
  <c r="P5" i="1"/>
  <c r="Q5" i="1"/>
  <c r="N6" i="1"/>
  <c r="P6" i="1"/>
  <c r="Q6" i="1"/>
  <c r="N7" i="1"/>
  <c r="P7" i="1"/>
  <c r="Q7" i="1"/>
  <c r="N8" i="1"/>
  <c r="P8" i="1"/>
  <c r="Q8" i="1"/>
  <c r="N9" i="1"/>
  <c r="P9" i="1"/>
  <c r="Q9" i="1"/>
  <c r="N10" i="1"/>
  <c r="P10" i="1"/>
  <c r="Q10" i="1"/>
  <c r="N11" i="1"/>
  <c r="P11" i="1"/>
  <c r="Q11" i="1"/>
  <c r="N12" i="1"/>
  <c r="P12" i="1"/>
  <c r="Q12" i="1"/>
  <c r="N13" i="1"/>
  <c r="P13" i="1"/>
  <c r="Q13" i="1"/>
  <c r="N14" i="1"/>
  <c r="P14" i="1"/>
  <c r="Q14" i="1"/>
  <c r="N15" i="1"/>
  <c r="P15" i="1"/>
  <c r="Q15" i="1"/>
  <c r="N16" i="1"/>
  <c r="P16" i="1"/>
  <c r="Q16" i="1"/>
  <c r="N17" i="1"/>
  <c r="P17" i="1"/>
  <c r="Q17" i="1"/>
  <c r="N18" i="1"/>
  <c r="P18" i="1"/>
  <c r="Q18" i="1"/>
  <c r="N19" i="1"/>
  <c r="P19" i="1"/>
  <c r="Q19" i="1"/>
  <c r="N20" i="1"/>
  <c r="P20" i="1"/>
  <c r="Q20" i="1"/>
  <c r="N21" i="1"/>
  <c r="P21" i="1"/>
  <c r="Q21" i="1"/>
  <c r="N22" i="1"/>
  <c r="P22" i="1"/>
  <c r="Q22" i="1"/>
  <c r="N23" i="1"/>
  <c r="P23" i="1"/>
  <c r="Q23" i="1"/>
  <c r="N24" i="1"/>
  <c r="P24" i="1"/>
  <c r="Q24" i="1"/>
  <c r="N25" i="1"/>
  <c r="P25" i="1"/>
  <c r="Q25" i="1"/>
  <c r="N26" i="1"/>
  <c r="P26" i="1"/>
  <c r="Q26" i="1"/>
  <c r="N27" i="1"/>
  <c r="P27" i="1"/>
  <c r="Q27" i="1"/>
  <c r="N28" i="1"/>
  <c r="P28" i="1"/>
  <c r="Q28" i="1"/>
  <c r="N29" i="1"/>
  <c r="P29" i="1"/>
  <c r="Q29" i="1"/>
  <c r="N30" i="1"/>
  <c r="P30" i="1"/>
  <c r="Q30" i="1"/>
  <c r="N31" i="1"/>
  <c r="P31" i="1"/>
  <c r="Q31" i="1"/>
  <c r="N32" i="1"/>
  <c r="P32" i="1"/>
  <c r="Q32" i="1"/>
  <c r="N33" i="1"/>
  <c r="P33" i="1"/>
  <c r="Q33" i="1"/>
  <c r="N34" i="1"/>
  <c r="P34" i="1"/>
  <c r="Q34" i="1"/>
  <c r="N35" i="1"/>
  <c r="P35" i="1"/>
  <c r="Q35" i="1"/>
  <c r="N36" i="1"/>
  <c r="P36" i="1"/>
  <c r="Q36" i="1"/>
  <c r="N37" i="1"/>
  <c r="P37" i="1"/>
  <c r="Q37" i="1"/>
  <c r="N38" i="1"/>
  <c r="P38" i="1"/>
  <c r="Q38" i="1"/>
  <c r="N39" i="1"/>
  <c r="P39" i="1"/>
  <c r="Q39" i="1"/>
  <c r="N40" i="1"/>
  <c r="P40" i="1"/>
  <c r="Q40" i="1"/>
  <c r="N41" i="1"/>
  <c r="P41" i="1"/>
  <c r="Q41" i="1"/>
  <c r="N42" i="1"/>
  <c r="P42" i="1"/>
  <c r="Q42" i="1"/>
  <c r="N43" i="1"/>
  <c r="P43" i="1"/>
  <c r="Q43" i="1"/>
  <c r="N44" i="1"/>
  <c r="P44" i="1"/>
  <c r="Q44" i="1"/>
  <c r="N45" i="1"/>
  <c r="P45" i="1"/>
  <c r="Q45" i="1"/>
  <c r="N46" i="1"/>
  <c r="P46" i="1"/>
  <c r="Q46" i="1"/>
  <c r="N47" i="1"/>
  <c r="P47" i="1"/>
  <c r="Q47" i="1"/>
  <c r="N48" i="1"/>
  <c r="P48" i="1"/>
  <c r="Q48" i="1"/>
  <c r="N49" i="1"/>
  <c r="P49" i="1"/>
  <c r="Q49" i="1"/>
  <c r="N50" i="1"/>
  <c r="P50" i="1"/>
  <c r="Q50" i="1"/>
  <c r="N51" i="1"/>
  <c r="P51" i="1"/>
  <c r="Q51" i="1"/>
  <c r="AE6" i="1"/>
  <c r="AF6" i="1"/>
  <c r="AG6" i="1"/>
  <c r="AI6" i="1"/>
  <c r="E6" i="5"/>
  <c r="D6" i="5"/>
  <c r="F6" i="5"/>
  <c r="G6" i="5"/>
  <c r="H6" i="5"/>
  <c r="I6" i="5"/>
  <c r="W7" i="1"/>
  <c r="X7" i="1"/>
  <c r="Y7" i="1"/>
  <c r="AA7" i="1"/>
  <c r="R3" i="1"/>
  <c r="Z7" i="1"/>
  <c r="AB7" i="1"/>
  <c r="AC7" i="1"/>
  <c r="AD7" i="1"/>
  <c r="AE7" i="1"/>
  <c r="AF7" i="1"/>
  <c r="AG7" i="1"/>
  <c r="AI7" i="1"/>
  <c r="E7" i="5"/>
  <c r="D7" i="5"/>
  <c r="F7" i="5"/>
  <c r="G7" i="5"/>
  <c r="H7" i="5"/>
  <c r="I7" i="5"/>
  <c r="W8" i="1"/>
  <c r="X8" i="1"/>
  <c r="Y8" i="1"/>
  <c r="AA8" i="1"/>
  <c r="Z8" i="1"/>
  <c r="AB8" i="1"/>
  <c r="AE8" i="1"/>
  <c r="AF8" i="1"/>
  <c r="AG8" i="1"/>
  <c r="AI8" i="1"/>
  <c r="E8" i="5"/>
  <c r="D8" i="5"/>
  <c r="F8" i="5"/>
  <c r="G8" i="5"/>
  <c r="H8" i="5"/>
  <c r="I8" i="5"/>
  <c r="W9" i="1"/>
  <c r="X9" i="1"/>
  <c r="Y9" i="1"/>
  <c r="AA9" i="1"/>
  <c r="Z9" i="1"/>
  <c r="AB9" i="1"/>
  <c r="AE9" i="1"/>
  <c r="AF9" i="1"/>
  <c r="AG9" i="1"/>
  <c r="AI9" i="1"/>
  <c r="E9" i="5"/>
  <c r="D9" i="5"/>
  <c r="F9" i="5"/>
  <c r="G9" i="5"/>
  <c r="H9" i="5"/>
  <c r="I9" i="5"/>
  <c r="W10" i="1"/>
  <c r="X10" i="1"/>
  <c r="Y10" i="1"/>
  <c r="AA10" i="1"/>
  <c r="R4" i="1"/>
  <c r="Z10" i="1"/>
  <c r="AB10" i="1"/>
  <c r="AC10" i="1"/>
  <c r="AD10" i="1"/>
  <c r="AE10" i="1"/>
  <c r="AF10" i="1"/>
  <c r="AG10" i="1"/>
  <c r="AI10" i="1"/>
  <c r="E10" i="5"/>
  <c r="D10" i="5"/>
  <c r="F10" i="5"/>
  <c r="G10" i="5"/>
  <c r="H10" i="5"/>
  <c r="I10" i="5"/>
  <c r="W11" i="1"/>
  <c r="X11" i="1"/>
  <c r="Y11" i="1"/>
  <c r="AA11" i="1"/>
  <c r="Z11" i="1"/>
  <c r="AB11" i="1"/>
  <c r="AE11" i="1"/>
  <c r="AF11" i="1"/>
  <c r="AG11" i="1"/>
  <c r="AI11" i="1"/>
  <c r="E11" i="5"/>
  <c r="D11" i="5"/>
  <c r="F11" i="5"/>
  <c r="G11" i="5"/>
  <c r="H11" i="5"/>
  <c r="I11" i="5"/>
  <c r="W12" i="1"/>
  <c r="X12" i="1"/>
  <c r="Y12" i="1"/>
  <c r="AA12" i="1"/>
  <c r="Z12" i="1"/>
  <c r="AB12" i="1"/>
  <c r="AE12" i="1"/>
  <c r="AF12" i="1"/>
  <c r="AG12" i="1"/>
  <c r="AI12" i="1"/>
  <c r="E12" i="5"/>
  <c r="D12" i="5"/>
  <c r="F12" i="5"/>
  <c r="G12" i="5"/>
  <c r="H12" i="5"/>
  <c r="I12" i="5"/>
  <c r="W13" i="1"/>
  <c r="X13" i="1"/>
  <c r="Y13" i="1"/>
  <c r="AA13" i="1"/>
  <c r="Z13" i="1"/>
  <c r="AB13" i="1"/>
  <c r="AE13" i="1"/>
  <c r="AF13" i="1"/>
  <c r="AG13" i="1"/>
  <c r="AI13" i="1"/>
  <c r="E13" i="5"/>
  <c r="D13" i="5"/>
  <c r="F13" i="5"/>
  <c r="G13" i="5"/>
  <c r="H13" i="5"/>
  <c r="I13" i="5"/>
  <c r="W14" i="1"/>
  <c r="X14" i="1"/>
  <c r="Y14" i="1"/>
  <c r="AA14" i="1"/>
  <c r="R5" i="1"/>
  <c r="Z14" i="1"/>
  <c r="AB14" i="1"/>
  <c r="AE14" i="1"/>
  <c r="AF14" i="1"/>
  <c r="AG14" i="1"/>
  <c r="AI14" i="1"/>
  <c r="E14" i="5"/>
  <c r="D14" i="5"/>
  <c r="F14" i="5"/>
  <c r="G14" i="5"/>
  <c r="H14" i="5"/>
  <c r="I14" i="5"/>
  <c r="W15" i="1"/>
  <c r="X15" i="1"/>
  <c r="Y15" i="1"/>
  <c r="AA15" i="1"/>
  <c r="Z15" i="1"/>
  <c r="AB15" i="1"/>
  <c r="AE15" i="1"/>
  <c r="AF15" i="1"/>
  <c r="AG15" i="1"/>
  <c r="AI15" i="1"/>
  <c r="E15" i="5"/>
  <c r="D15" i="5"/>
  <c r="F15" i="5"/>
  <c r="G15" i="5"/>
  <c r="H15" i="5"/>
  <c r="I15" i="5"/>
  <c r="W16" i="1"/>
  <c r="X16" i="1"/>
  <c r="Y16" i="1"/>
  <c r="AA16" i="1"/>
  <c r="Z16" i="1"/>
  <c r="AB16" i="1"/>
  <c r="AE16" i="1"/>
  <c r="AF16" i="1"/>
  <c r="AG16" i="1"/>
  <c r="AI16" i="1"/>
  <c r="E16" i="5"/>
  <c r="D16" i="5"/>
  <c r="F16" i="5"/>
  <c r="G16" i="5"/>
  <c r="H16" i="5"/>
  <c r="I16" i="5"/>
  <c r="W17" i="1"/>
  <c r="X17" i="1"/>
  <c r="Y17" i="1"/>
  <c r="AA17" i="1"/>
  <c r="R6" i="1"/>
  <c r="Z17" i="1"/>
  <c r="AB17" i="1"/>
  <c r="AC17" i="1"/>
  <c r="AD17" i="1"/>
  <c r="AE17" i="1"/>
  <c r="AF17" i="1"/>
  <c r="AG17" i="1"/>
  <c r="AI17" i="1"/>
  <c r="E17" i="5"/>
  <c r="D17" i="5"/>
  <c r="F17" i="5"/>
  <c r="G17" i="5"/>
  <c r="H17" i="5"/>
  <c r="I17" i="5"/>
  <c r="W18" i="1"/>
  <c r="X18" i="1"/>
  <c r="Y18" i="1"/>
  <c r="AA18" i="1"/>
  <c r="Z18" i="1"/>
  <c r="AB18" i="1"/>
  <c r="AE18" i="1"/>
  <c r="AF18" i="1"/>
  <c r="AG18" i="1"/>
  <c r="AI18" i="1"/>
  <c r="E18" i="5"/>
  <c r="D18" i="5"/>
  <c r="F18" i="5"/>
  <c r="G18" i="5"/>
  <c r="H18" i="5"/>
  <c r="I18" i="5"/>
  <c r="W19" i="1"/>
  <c r="X19" i="1"/>
  <c r="Y19" i="1"/>
  <c r="AA19" i="1"/>
  <c r="Z19" i="1"/>
  <c r="AB19" i="1"/>
  <c r="AE19" i="1"/>
  <c r="AF19" i="1"/>
  <c r="AG19" i="1"/>
  <c r="AI19" i="1"/>
  <c r="E19" i="5"/>
  <c r="D19" i="5"/>
  <c r="F19" i="5"/>
  <c r="G19" i="5"/>
  <c r="H19" i="5"/>
  <c r="I19" i="5"/>
  <c r="W20" i="1"/>
  <c r="X20" i="1"/>
  <c r="Y20" i="1"/>
  <c r="AA20" i="1"/>
  <c r="R7" i="1"/>
  <c r="Z20" i="1"/>
  <c r="AB20" i="1"/>
  <c r="AC20" i="1"/>
  <c r="AD20" i="1"/>
  <c r="AE20" i="1"/>
  <c r="AF20" i="1"/>
  <c r="AG20" i="1"/>
  <c r="AI20" i="1"/>
  <c r="E20" i="5"/>
  <c r="D20" i="5"/>
  <c r="F20" i="5"/>
  <c r="G20" i="5"/>
  <c r="H20" i="5"/>
  <c r="I20" i="5"/>
  <c r="W21" i="1"/>
  <c r="X21" i="1"/>
  <c r="Y21" i="1"/>
  <c r="AA21" i="1"/>
  <c r="Z21" i="1"/>
  <c r="AB21" i="1"/>
  <c r="AE21" i="1"/>
  <c r="AF21" i="1"/>
  <c r="AG21" i="1"/>
  <c r="AI21" i="1"/>
  <c r="E21" i="5"/>
  <c r="D21" i="5"/>
  <c r="F21" i="5"/>
  <c r="G21" i="5"/>
  <c r="H21" i="5"/>
  <c r="I21" i="5"/>
  <c r="W22" i="1"/>
  <c r="X22" i="1"/>
  <c r="Y22" i="1"/>
  <c r="AA22" i="1"/>
  <c r="Z22" i="1"/>
  <c r="AB22" i="1"/>
  <c r="AE22" i="1"/>
  <c r="AF22" i="1"/>
  <c r="AG22" i="1"/>
  <c r="AI22" i="1"/>
  <c r="E22" i="5"/>
  <c r="D22" i="5"/>
  <c r="F22" i="5"/>
  <c r="G22" i="5"/>
  <c r="H22" i="5"/>
  <c r="I22" i="5"/>
  <c r="W23" i="1"/>
  <c r="X23" i="1"/>
  <c r="Y23" i="1"/>
  <c r="AA23" i="1"/>
  <c r="R8" i="1"/>
  <c r="Z23" i="1"/>
  <c r="AB23" i="1"/>
  <c r="AC23" i="1"/>
  <c r="AD23" i="1"/>
  <c r="AE23" i="1"/>
  <c r="AF23" i="1"/>
  <c r="AG23" i="1"/>
  <c r="AI23" i="1"/>
  <c r="E23" i="5"/>
  <c r="D23" i="5"/>
  <c r="F23" i="5"/>
  <c r="G23" i="5"/>
  <c r="H23" i="5"/>
  <c r="I23" i="5"/>
  <c r="W24" i="1"/>
  <c r="X24" i="1"/>
  <c r="Y24" i="1"/>
  <c r="AA24" i="1"/>
  <c r="Z24" i="1"/>
  <c r="AB24" i="1"/>
  <c r="AE24" i="1"/>
  <c r="AF24" i="1"/>
  <c r="AG24" i="1"/>
  <c r="AI24" i="1"/>
  <c r="E24" i="5"/>
  <c r="D24" i="5"/>
  <c r="F24" i="5"/>
  <c r="G24" i="5"/>
  <c r="H24" i="5"/>
  <c r="I24" i="5"/>
  <c r="W25" i="1"/>
  <c r="X25" i="1"/>
  <c r="Y25" i="1"/>
  <c r="AA25" i="1"/>
  <c r="Z25" i="1"/>
  <c r="AB25" i="1"/>
  <c r="AE25" i="1"/>
  <c r="AF25" i="1"/>
  <c r="AG25" i="1"/>
  <c r="AI25" i="1"/>
  <c r="E25" i="5"/>
  <c r="D25" i="5"/>
  <c r="F25" i="5"/>
  <c r="G25" i="5"/>
  <c r="H25" i="5"/>
  <c r="I25" i="5"/>
  <c r="W26" i="1"/>
  <c r="X26" i="1"/>
  <c r="Y26" i="1"/>
  <c r="AA26" i="1"/>
  <c r="R9" i="1"/>
  <c r="Z26" i="1"/>
  <c r="AB26" i="1"/>
  <c r="AC26" i="1"/>
  <c r="AD26" i="1"/>
  <c r="AE26" i="1"/>
  <c r="AF26" i="1"/>
  <c r="AG26" i="1"/>
  <c r="AI26" i="1"/>
  <c r="E26" i="5"/>
  <c r="D26" i="5"/>
  <c r="F26" i="5"/>
  <c r="G26" i="5"/>
  <c r="H26" i="5"/>
  <c r="I26" i="5"/>
  <c r="W27" i="1"/>
  <c r="X27" i="1"/>
  <c r="Y27" i="1"/>
  <c r="AA27" i="1"/>
  <c r="Z27" i="1"/>
  <c r="AB27" i="1"/>
  <c r="AE27" i="1"/>
  <c r="AF27" i="1"/>
  <c r="AG27" i="1"/>
  <c r="AI27" i="1"/>
  <c r="E27" i="5"/>
  <c r="D27" i="5"/>
  <c r="F27" i="5"/>
  <c r="G27" i="5"/>
  <c r="H27" i="5"/>
  <c r="I27" i="5"/>
  <c r="W28" i="1"/>
  <c r="X28" i="1"/>
  <c r="Y28" i="1"/>
  <c r="AA28" i="1"/>
  <c r="Z28" i="1"/>
  <c r="AB28" i="1"/>
  <c r="AE28" i="1"/>
  <c r="AF28" i="1"/>
  <c r="AG28" i="1"/>
  <c r="AI28" i="1"/>
  <c r="E28" i="5"/>
  <c r="D28" i="5"/>
  <c r="F28" i="5"/>
  <c r="G28" i="5"/>
  <c r="H28" i="5"/>
  <c r="I28" i="5"/>
  <c r="W29" i="1"/>
  <c r="X29" i="1"/>
  <c r="Y29" i="1"/>
  <c r="AA29" i="1"/>
  <c r="R10" i="1"/>
  <c r="Z29" i="1"/>
  <c r="AB29" i="1"/>
  <c r="AC29" i="1"/>
  <c r="AD29" i="1"/>
  <c r="AE29" i="1"/>
  <c r="AF29" i="1"/>
  <c r="AG29" i="1"/>
  <c r="AI29" i="1"/>
  <c r="E29" i="5"/>
  <c r="D29" i="5"/>
  <c r="F29" i="5"/>
  <c r="G29" i="5"/>
  <c r="H29" i="5"/>
  <c r="I29" i="5"/>
  <c r="W30" i="1"/>
  <c r="X30" i="1"/>
  <c r="Y30" i="1"/>
  <c r="AA30" i="1"/>
  <c r="Z30" i="1"/>
  <c r="AB30" i="1"/>
  <c r="AE30" i="1"/>
  <c r="AF30" i="1"/>
  <c r="AG30" i="1"/>
  <c r="AI30" i="1"/>
  <c r="E30" i="5"/>
  <c r="D30" i="5"/>
  <c r="F30" i="5"/>
  <c r="G30" i="5"/>
  <c r="H30" i="5"/>
  <c r="I30" i="5"/>
  <c r="X31" i="1"/>
  <c r="W31" i="1"/>
  <c r="Y31" i="1"/>
  <c r="AA31" i="1"/>
  <c r="Z31" i="1"/>
  <c r="AB31" i="1"/>
  <c r="AE31" i="1"/>
  <c r="AF31" i="1"/>
  <c r="AG31" i="1"/>
  <c r="AI31" i="1"/>
  <c r="E31" i="5"/>
  <c r="D31" i="5"/>
  <c r="F31" i="5"/>
  <c r="G31" i="5"/>
  <c r="H31" i="5"/>
  <c r="I31" i="5"/>
  <c r="X32" i="1"/>
  <c r="W32" i="1"/>
  <c r="Y32" i="1"/>
  <c r="AA32" i="1"/>
  <c r="R11" i="1"/>
  <c r="Z32" i="1"/>
  <c r="AB32" i="1"/>
  <c r="AC32" i="1"/>
  <c r="AD32" i="1"/>
  <c r="AE32" i="1"/>
  <c r="AF32" i="1"/>
  <c r="AG32" i="1"/>
  <c r="AI32" i="1"/>
  <c r="E32" i="5"/>
  <c r="D32" i="5"/>
  <c r="F32" i="5"/>
  <c r="G32" i="5"/>
  <c r="H32" i="5"/>
  <c r="I32" i="5"/>
  <c r="X33" i="1"/>
  <c r="W33" i="1"/>
  <c r="Y33" i="1"/>
  <c r="AA33" i="1"/>
  <c r="Z33" i="1"/>
  <c r="AB33" i="1"/>
  <c r="AE33" i="1"/>
  <c r="AF33" i="1"/>
  <c r="AG33" i="1"/>
  <c r="AI33" i="1"/>
  <c r="E33" i="5"/>
  <c r="D33" i="5"/>
  <c r="F33" i="5"/>
  <c r="G33" i="5"/>
  <c r="H33" i="5"/>
  <c r="I33" i="5"/>
  <c r="X34" i="1"/>
  <c r="W34" i="1"/>
  <c r="Y34" i="1"/>
  <c r="AA34" i="1"/>
  <c r="Z34" i="1"/>
  <c r="AB34" i="1"/>
  <c r="AE34" i="1"/>
  <c r="AF34" i="1"/>
  <c r="AG34" i="1"/>
  <c r="AI34" i="1"/>
  <c r="E34" i="5"/>
  <c r="D34" i="5"/>
  <c r="F34" i="5"/>
  <c r="G34" i="5"/>
  <c r="H34" i="5"/>
  <c r="I34" i="5"/>
  <c r="X35" i="1"/>
  <c r="W35" i="1"/>
  <c r="Y35" i="1"/>
  <c r="AA35" i="1"/>
  <c r="R12" i="1"/>
  <c r="Z35" i="1"/>
  <c r="AB35" i="1"/>
  <c r="AC35" i="1"/>
  <c r="AD35" i="1"/>
  <c r="AE35" i="1"/>
  <c r="AF35" i="1"/>
  <c r="AG35" i="1"/>
  <c r="AI35" i="1"/>
  <c r="E35" i="5"/>
  <c r="D35" i="5"/>
  <c r="F35" i="5"/>
  <c r="G35" i="5"/>
  <c r="H35" i="5"/>
  <c r="I35" i="5"/>
  <c r="X36" i="1"/>
  <c r="W36" i="1"/>
  <c r="Y36" i="1"/>
  <c r="AA36" i="1"/>
  <c r="Z36" i="1"/>
  <c r="AB36" i="1"/>
  <c r="AE36" i="1"/>
  <c r="AF36" i="1"/>
  <c r="AG36" i="1"/>
  <c r="AI36" i="1"/>
  <c r="E36" i="5"/>
  <c r="D36" i="5"/>
  <c r="F36" i="5"/>
  <c r="G36" i="5"/>
  <c r="H36" i="5"/>
  <c r="I36" i="5"/>
  <c r="X37" i="1"/>
  <c r="W37" i="1"/>
  <c r="Y37" i="1"/>
  <c r="AA37" i="1"/>
  <c r="Z37" i="1"/>
  <c r="AB37" i="1"/>
  <c r="AE37" i="1"/>
  <c r="AF37" i="1"/>
  <c r="AG37" i="1"/>
  <c r="AI37" i="1"/>
  <c r="E37" i="5"/>
  <c r="D37" i="5"/>
  <c r="F37" i="5"/>
  <c r="G37" i="5"/>
  <c r="H37" i="5"/>
  <c r="I37" i="5"/>
  <c r="X38" i="1"/>
  <c r="W38" i="1"/>
  <c r="Y38" i="1"/>
  <c r="AA38" i="1"/>
  <c r="Z38" i="1"/>
  <c r="AB38" i="1"/>
  <c r="AE38" i="1"/>
  <c r="AF38" i="1"/>
  <c r="AG38" i="1"/>
  <c r="AI38" i="1"/>
  <c r="E38" i="5"/>
  <c r="D38" i="5"/>
  <c r="F38" i="5"/>
  <c r="G38" i="5"/>
  <c r="H38" i="5"/>
  <c r="I38" i="5"/>
  <c r="X39" i="1"/>
  <c r="W39" i="1"/>
  <c r="Y39" i="1"/>
  <c r="AA39" i="1"/>
  <c r="R13" i="1"/>
  <c r="Z39" i="1"/>
  <c r="AB39" i="1"/>
  <c r="AE39" i="1"/>
  <c r="AF39" i="1"/>
  <c r="AG39" i="1"/>
  <c r="AI39" i="1"/>
  <c r="E39" i="5"/>
  <c r="D39" i="5"/>
  <c r="F39" i="5"/>
  <c r="G39" i="5"/>
  <c r="H39" i="5"/>
  <c r="I39" i="5"/>
  <c r="X40" i="1"/>
  <c r="W40" i="1"/>
  <c r="Y40" i="1"/>
  <c r="AA40" i="1"/>
  <c r="Z40" i="1"/>
  <c r="AB40" i="1"/>
  <c r="AE40" i="1"/>
  <c r="AF40" i="1"/>
  <c r="AG40" i="1"/>
  <c r="AI40" i="1"/>
  <c r="E40" i="5"/>
  <c r="D40" i="5"/>
  <c r="F40" i="5"/>
  <c r="G40" i="5"/>
  <c r="H40" i="5"/>
  <c r="I40" i="5"/>
  <c r="X41" i="1"/>
  <c r="W41" i="1"/>
  <c r="Y41" i="1"/>
  <c r="AA41" i="1"/>
  <c r="Z41" i="1"/>
  <c r="AB41" i="1"/>
  <c r="AE41" i="1"/>
  <c r="AF41" i="1"/>
  <c r="AG41" i="1"/>
  <c r="AI41" i="1"/>
  <c r="E41" i="5"/>
  <c r="D41" i="5"/>
  <c r="F41" i="5"/>
  <c r="G41" i="5"/>
  <c r="H41" i="5"/>
  <c r="I41" i="5"/>
  <c r="X42" i="1"/>
  <c r="W42" i="1"/>
  <c r="Y42" i="1"/>
  <c r="AA42" i="1"/>
  <c r="R14" i="1"/>
  <c r="Z42" i="1"/>
  <c r="AB42" i="1"/>
  <c r="AC42" i="1"/>
  <c r="AD42" i="1"/>
  <c r="AE42" i="1"/>
  <c r="AF42" i="1"/>
  <c r="AG42" i="1"/>
  <c r="AI42" i="1"/>
  <c r="E42" i="5"/>
  <c r="D42" i="5"/>
  <c r="F42" i="5"/>
  <c r="G42" i="5"/>
  <c r="H42" i="5"/>
  <c r="I42" i="5"/>
  <c r="X43" i="1"/>
  <c r="W43" i="1"/>
  <c r="Y43" i="1"/>
  <c r="AA43" i="1"/>
  <c r="Z43" i="1"/>
  <c r="AB43" i="1"/>
  <c r="AE43" i="1"/>
  <c r="AF43" i="1"/>
  <c r="AG43" i="1"/>
  <c r="AI43" i="1"/>
  <c r="E43" i="5"/>
  <c r="D43" i="5"/>
  <c r="F43" i="5"/>
  <c r="H21" i="1"/>
  <c r="H22" i="1"/>
  <c r="H23" i="1"/>
  <c r="H24" i="1"/>
  <c r="H27" i="1"/>
  <c r="G43" i="5"/>
  <c r="H43" i="5"/>
  <c r="I43" i="5"/>
  <c r="X44" i="1"/>
  <c r="W44" i="1"/>
  <c r="Y44" i="1"/>
  <c r="AA44" i="1"/>
  <c r="Z44" i="1"/>
  <c r="AB44" i="1"/>
  <c r="AE44" i="1"/>
  <c r="AF44" i="1"/>
  <c r="AG44" i="1"/>
  <c r="AI44" i="1"/>
  <c r="E44" i="5"/>
  <c r="D44" i="5"/>
  <c r="F44" i="5"/>
  <c r="G44" i="5"/>
  <c r="H44" i="5"/>
  <c r="I44" i="5"/>
  <c r="W45" i="1"/>
  <c r="X45" i="1"/>
  <c r="Y45" i="1"/>
  <c r="AA45" i="1"/>
  <c r="R15" i="1"/>
  <c r="Z45" i="1"/>
  <c r="AB45" i="1"/>
  <c r="AC45" i="1"/>
  <c r="AD45" i="1"/>
  <c r="AE45" i="1"/>
  <c r="AF45" i="1"/>
  <c r="AG45" i="1"/>
  <c r="AI45" i="1"/>
  <c r="E45" i="5"/>
  <c r="D45" i="5"/>
  <c r="F45" i="5"/>
  <c r="G45" i="5"/>
  <c r="H45" i="5"/>
  <c r="I45" i="5"/>
  <c r="W46" i="1"/>
  <c r="X46" i="1"/>
  <c r="Y46" i="1"/>
  <c r="AA46" i="1"/>
  <c r="Z46" i="1"/>
  <c r="AB46" i="1"/>
  <c r="AE46" i="1"/>
  <c r="AF46" i="1"/>
  <c r="AG46" i="1"/>
  <c r="AI46" i="1"/>
  <c r="E46" i="5"/>
  <c r="D46" i="5"/>
  <c r="F46" i="5"/>
  <c r="H25" i="1"/>
  <c r="H26" i="1"/>
  <c r="G46" i="5"/>
  <c r="H46" i="5"/>
  <c r="I46" i="5"/>
  <c r="W47" i="1"/>
  <c r="X47" i="1"/>
  <c r="Y47" i="1"/>
  <c r="AA47" i="1"/>
  <c r="R16" i="1"/>
  <c r="Z47" i="1"/>
  <c r="AB47" i="1"/>
  <c r="AC47" i="1"/>
  <c r="AD47" i="1"/>
  <c r="AE47" i="1"/>
  <c r="AF47" i="1"/>
  <c r="AG47" i="1"/>
  <c r="AI47" i="1"/>
  <c r="E47" i="5"/>
  <c r="D47" i="5"/>
  <c r="F47" i="5"/>
  <c r="G47" i="5"/>
  <c r="H47" i="5"/>
  <c r="I47" i="5"/>
  <c r="W48" i="1"/>
  <c r="X48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Y48" i="1"/>
  <c r="AA48" i="1"/>
  <c r="Z48" i="1"/>
  <c r="AB48" i="1"/>
  <c r="AE48" i="1"/>
  <c r="AF48" i="1"/>
  <c r="AG48" i="1"/>
  <c r="AI48" i="1"/>
  <c r="E48" i="5"/>
  <c r="D48" i="5"/>
  <c r="F48" i="5"/>
  <c r="G48" i="5"/>
  <c r="H48" i="5"/>
  <c r="I48" i="5"/>
  <c r="W49" i="1"/>
  <c r="X49" i="1"/>
  <c r="V49" i="1"/>
  <c r="AI49" i="1"/>
  <c r="E49" i="5"/>
  <c r="D49" i="5"/>
  <c r="F49" i="5"/>
  <c r="G49" i="5"/>
  <c r="H49" i="5"/>
  <c r="I49" i="5"/>
  <c r="W50" i="1"/>
  <c r="X50" i="1"/>
  <c r="V50" i="1"/>
  <c r="AI50" i="1"/>
  <c r="E50" i="5"/>
  <c r="D50" i="5"/>
  <c r="F50" i="5"/>
  <c r="G50" i="5"/>
  <c r="H50" i="5"/>
  <c r="I50" i="5"/>
  <c r="W51" i="1"/>
  <c r="X51" i="1"/>
  <c r="V51" i="1"/>
  <c r="AI51" i="1"/>
  <c r="E51" i="5"/>
  <c r="D51" i="5"/>
  <c r="F51" i="5"/>
  <c r="G51" i="5"/>
  <c r="H51" i="5"/>
  <c r="I51" i="5"/>
  <c r="L2" i="5"/>
  <c r="K2" i="5"/>
  <c r="M2" i="5"/>
  <c r="H19" i="1"/>
  <c r="N2" i="5"/>
  <c r="O2" i="5"/>
  <c r="P2" i="5"/>
  <c r="L3" i="5"/>
  <c r="K3" i="5"/>
  <c r="M3" i="5"/>
  <c r="N3" i="5"/>
  <c r="O3" i="5"/>
  <c r="P3" i="5"/>
  <c r="L4" i="5"/>
  <c r="K4" i="5"/>
  <c r="M4" i="5"/>
  <c r="N4" i="5"/>
  <c r="O4" i="5"/>
  <c r="P4" i="5"/>
  <c r="L5" i="5"/>
  <c r="K5" i="5"/>
  <c r="M5" i="5"/>
  <c r="N5" i="5"/>
  <c r="O5" i="5"/>
  <c r="P5" i="5"/>
  <c r="L6" i="5"/>
  <c r="K6" i="5"/>
  <c r="M6" i="5"/>
  <c r="N6" i="5"/>
  <c r="O6" i="5"/>
  <c r="P6" i="5"/>
  <c r="L7" i="5"/>
  <c r="K7" i="5"/>
  <c r="M7" i="5"/>
  <c r="N7" i="5"/>
  <c r="O7" i="5"/>
  <c r="P7" i="5"/>
  <c r="L8" i="5"/>
  <c r="K8" i="5"/>
  <c r="M8" i="5"/>
  <c r="N8" i="5"/>
  <c r="O8" i="5"/>
  <c r="P8" i="5"/>
  <c r="L9" i="5"/>
  <c r="K9" i="5"/>
  <c r="M9" i="5"/>
  <c r="N9" i="5"/>
  <c r="O9" i="5"/>
  <c r="P9" i="5"/>
  <c r="L10" i="5"/>
  <c r="K10" i="5"/>
  <c r="M10" i="5"/>
  <c r="N10" i="5"/>
  <c r="O10" i="5"/>
  <c r="P10" i="5"/>
  <c r="L11" i="5"/>
  <c r="K11" i="5"/>
  <c r="M11" i="5"/>
  <c r="N11" i="5"/>
  <c r="O11" i="5"/>
  <c r="P11" i="5"/>
  <c r="L12" i="5"/>
  <c r="K12" i="5"/>
  <c r="M12" i="5"/>
  <c r="N12" i="5"/>
  <c r="O12" i="5"/>
  <c r="P12" i="5"/>
  <c r="L13" i="5"/>
  <c r="K13" i="5"/>
  <c r="M13" i="5"/>
  <c r="N13" i="5"/>
  <c r="O13" i="5"/>
  <c r="P13" i="5"/>
  <c r="L14" i="5"/>
  <c r="K14" i="5"/>
  <c r="M14" i="5"/>
  <c r="N14" i="5"/>
  <c r="O14" i="5"/>
  <c r="P14" i="5"/>
  <c r="L15" i="5"/>
  <c r="K15" i="5"/>
  <c r="M15" i="5"/>
  <c r="N15" i="5"/>
  <c r="O15" i="5"/>
  <c r="P15" i="5"/>
  <c r="L16" i="5"/>
  <c r="K16" i="5"/>
  <c r="M16" i="5"/>
  <c r="N16" i="5"/>
  <c r="O16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B16" i="5"/>
  <c r="C6" i="7"/>
  <c r="C42" i="7"/>
  <c r="E2" i="4"/>
  <c r="H17" i="1"/>
  <c r="B3" i="4"/>
  <c r="D2" i="4"/>
  <c r="B2" i="4"/>
  <c r="F2" i="4"/>
  <c r="G2" i="4"/>
  <c r="H2" i="4"/>
  <c r="I2" i="4"/>
  <c r="E3" i="4"/>
  <c r="D3" i="4"/>
  <c r="F3" i="4"/>
  <c r="G3" i="4"/>
  <c r="H3" i="4"/>
  <c r="I3" i="4"/>
  <c r="E4" i="4"/>
  <c r="D4" i="4"/>
  <c r="F4" i="4"/>
  <c r="G4" i="4"/>
  <c r="H4" i="4"/>
  <c r="I4" i="4"/>
  <c r="E5" i="4"/>
  <c r="D5" i="4"/>
  <c r="F5" i="4"/>
  <c r="G5" i="4"/>
  <c r="H5" i="4"/>
  <c r="I5" i="4"/>
  <c r="E6" i="4"/>
  <c r="D6" i="4"/>
  <c r="F6" i="4"/>
  <c r="G6" i="4"/>
  <c r="H6" i="4"/>
  <c r="I6" i="4"/>
  <c r="E7" i="4"/>
  <c r="D7" i="4"/>
  <c r="F7" i="4"/>
  <c r="G7" i="4"/>
  <c r="H7" i="4"/>
  <c r="I7" i="4"/>
  <c r="E8" i="4"/>
  <c r="D8" i="4"/>
  <c r="F8" i="4"/>
  <c r="G8" i="4"/>
  <c r="H8" i="4"/>
  <c r="I8" i="4"/>
  <c r="E9" i="4"/>
  <c r="D9" i="4"/>
  <c r="F9" i="4"/>
  <c r="G9" i="4"/>
  <c r="H9" i="4"/>
  <c r="I9" i="4"/>
  <c r="E10" i="4"/>
  <c r="D10" i="4"/>
  <c r="F10" i="4"/>
  <c r="G10" i="4"/>
  <c r="H10" i="4"/>
  <c r="I10" i="4"/>
  <c r="E11" i="4"/>
  <c r="D11" i="4"/>
  <c r="F11" i="4"/>
  <c r="G11" i="4"/>
  <c r="H11" i="4"/>
  <c r="I11" i="4"/>
  <c r="E12" i="4"/>
  <c r="D12" i="4"/>
  <c r="F12" i="4"/>
  <c r="G12" i="4"/>
  <c r="H12" i="4"/>
  <c r="I12" i="4"/>
  <c r="E13" i="4"/>
  <c r="D13" i="4"/>
  <c r="F13" i="4"/>
  <c r="G13" i="4"/>
  <c r="H13" i="4"/>
  <c r="I13" i="4"/>
  <c r="E14" i="4"/>
  <c r="D14" i="4"/>
  <c r="F14" i="4"/>
  <c r="G14" i="4"/>
  <c r="H14" i="4"/>
  <c r="I14" i="4"/>
  <c r="E15" i="4"/>
  <c r="D15" i="4"/>
  <c r="F15" i="4"/>
  <c r="G15" i="4"/>
  <c r="H15" i="4"/>
  <c r="I15" i="4"/>
  <c r="E16" i="4"/>
  <c r="D16" i="4"/>
  <c r="F16" i="4"/>
  <c r="G16" i="4"/>
  <c r="H16" i="4"/>
  <c r="I16" i="4"/>
  <c r="E17" i="4"/>
  <c r="D17" i="4"/>
  <c r="F17" i="4"/>
  <c r="G17" i="4"/>
  <c r="H17" i="4"/>
  <c r="I17" i="4"/>
  <c r="E18" i="4"/>
  <c r="D18" i="4"/>
  <c r="F18" i="4"/>
  <c r="G18" i="4"/>
  <c r="H18" i="4"/>
  <c r="I18" i="4"/>
  <c r="E19" i="4"/>
  <c r="D19" i="4"/>
  <c r="F19" i="4"/>
  <c r="G19" i="4"/>
  <c r="H19" i="4"/>
  <c r="I19" i="4"/>
  <c r="E20" i="4"/>
  <c r="D20" i="4"/>
  <c r="F20" i="4"/>
  <c r="G20" i="4"/>
  <c r="H20" i="4"/>
  <c r="I20" i="4"/>
  <c r="E21" i="4"/>
  <c r="D21" i="4"/>
  <c r="F21" i="4"/>
  <c r="G21" i="4"/>
  <c r="H21" i="4"/>
  <c r="I21" i="4"/>
  <c r="E22" i="4"/>
  <c r="D22" i="4"/>
  <c r="F22" i="4"/>
  <c r="G22" i="4"/>
  <c r="H22" i="4"/>
  <c r="I22" i="4"/>
  <c r="E23" i="4"/>
  <c r="D23" i="4"/>
  <c r="F23" i="4"/>
  <c r="G23" i="4"/>
  <c r="H23" i="4"/>
  <c r="I23" i="4"/>
  <c r="E24" i="4"/>
  <c r="D24" i="4"/>
  <c r="F24" i="4"/>
  <c r="G24" i="4"/>
  <c r="H24" i="4"/>
  <c r="I24" i="4"/>
  <c r="E25" i="4"/>
  <c r="D25" i="4"/>
  <c r="F25" i="4"/>
  <c r="G25" i="4"/>
  <c r="H25" i="4"/>
  <c r="I25" i="4"/>
  <c r="E26" i="4"/>
  <c r="D26" i="4"/>
  <c r="F26" i="4"/>
  <c r="G26" i="4"/>
  <c r="H26" i="4"/>
  <c r="I26" i="4"/>
  <c r="E27" i="4"/>
  <c r="D27" i="4"/>
  <c r="F27" i="4"/>
  <c r="G27" i="4"/>
  <c r="H27" i="4"/>
  <c r="I27" i="4"/>
  <c r="E28" i="4"/>
  <c r="D28" i="4"/>
  <c r="F28" i="4"/>
  <c r="G28" i="4"/>
  <c r="H28" i="4"/>
  <c r="I28" i="4"/>
  <c r="E29" i="4"/>
  <c r="D29" i="4"/>
  <c r="F29" i="4"/>
  <c r="G29" i="4"/>
  <c r="H29" i="4"/>
  <c r="I29" i="4"/>
  <c r="E30" i="4"/>
  <c r="D30" i="4"/>
  <c r="F30" i="4"/>
  <c r="G30" i="4"/>
  <c r="H30" i="4"/>
  <c r="I30" i="4"/>
  <c r="E31" i="4"/>
  <c r="D31" i="4"/>
  <c r="F31" i="4"/>
  <c r="G31" i="4"/>
  <c r="H31" i="4"/>
  <c r="I31" i="4"/>
  <c r="E32" i="4"/>
  <c r="D32" i="4"/>
  <c r="F32" i="4"/>
  <c r="G32" i="4"/>
  <c r="H32" i="4"/>
  <c r="I32" i="4"/>
  <c r="E33" i="4"/>
  <c r="D33" i="4"/>
  <c r="F33" i="4"/>
  <c r="G33" i="4"/>
  <c r="H33" i="4"/>
  <c r="I33" i="4"/>
  <c r="E34" i="4"/>
  <c r="D34" i="4"/>
  <c r="F34" i="4"/>
  <c r="G34" i="4"/>
  <c r="H34" i="4"/>
  <c r="I34" i="4"/>
  <c r="E35" i="4"/>
  <c r="D35" i="4"/>
  <c r="F35" i="4"/>
  <c r="G35" i="4"/>
  <c r="H35" i="4"/>
  <c r="I35" i="4"/>
  <c r="E36" i="4"/>
  <c r="D36" i="4"/>
  <c r="F36" i="4"/>
  <c r="G36" i="4"/>
  <c r="H36" i="4"/>
  <c r="I36" i="4"/>
  <c r="E37" i="4"/>
  <c r="D37" i="4"/>
  <c r="F37" i="4"/>
  <c r="G37" i="4"/>
  <c r="H37" i="4"/>
  <c r="I37" i="4"/>
  <c r="E38" i="4"/>
  <c r="D38" i="4"/>
  <c r="F38" i="4"/>
  <c r="G38" i="4"/>
  <c r="H38" i="4"/>
  <c r="I38" i="4"/>
  <c r="E39" i="4"/>
  <c r="D39" i="4"/>
  <c r="F39" i="4"/>
  <c r="G39" i="4"/>
  <c r="H39" i="4"/>
  <c r="I39" i="4"/>
  <c r="E40" i="4"/>
  <c r="D40" i="4"/>
  <c r="F40" i="4"/>
  <c r="G40" i="4"/>
  <c r="H40" i="4"/>
  <c r="I40" i="4"/>
  <c r="E41" i="4"/>
  <c r="D41" i="4"/>
  <c r="F41" i="4"/>
  <c r="G41" i="4"/>
  <c r="H41" i="4"/>
  <c r="I41" i="4"/>
  <c r="E42" i="4"/>
  <c r="D42" i="4"/>
  <c r="F42" i="4"/>
  <c r="G42" i="4"/>
  <c r="H42" i="4"/>
  <c r="I42" i="4"/>
  <c r="E43" i="4"/>
  <c r="D43" i="4"/>
  <c r="F43" i="4"/>
  <c r="G43" i="4"/>
  <c r="H43" i="4"/>
  <c r="I43" i="4"/>
  <c r="E44" i="4"/>
  <c r="D44" i="4"/>
  <c r="F44" i="4"/>
  <c r="G44" i="4"/>
  <c r="H44" i="4"/>
  <c r="I44" i="4"/>
  <c r="E45" i="4"/>
  <c r="D45" i="4"/>
  <c r="F45" i="4"/>
  <c r="G45" i="4"/>
  <c r="H45" i="4"/>
  <c r="I45" i="4"/>
  <c r="E46" i="4"/>
  <c r="D46" i="4"/>
  <c r="F46" i="4"/>
  <c r="G46" i="4"/>
  <c r="H46" i="4"/>
  <c r="I46" i="4"/>
  <c r="E47" i="4"/>
  <c r="D47" i="4"/>
  <c r="F47" i="4"/>
  <c r="G47" i="4"/>
  <c r="H47" i="4"/>
  <c r="I47" i="4"/>
  <c r="E48" i="4"/>
  <c r="D48" i="4"/>
  <c r="F48" i="4"/>
  <c r="G48" i="4"/>
  <c r="H48" i="4"/>
  <c r="I48" i="4"/>
  <c r="E49" i="4"/>
  <c r="D49" i="4"/>
  <c r="F49" i="4"/>
  <c r="G49" i="4"/>
  <c r="H49" i="4"/>
  <c r="I49" i="4"/>
  <c r="E50" i="4"/>
  <c r="D50" i="4"/>
  <c r="F50" i="4"/>
  <c r="G50" i="4"/>
  <c r="H50" i="4"/>
  <c r="I50" i="4"/>
  <c r="E51" i="4"/>
  <c r="D51" i="4"/>
  <c r="F51" i="4"/>
  <c r="G51" i="4"/>
  <c r="H51" i="4"/>
  <c r="I51" i="4"/>
  <c r="L2" i="4"/>
  <c r="K2" i="4"/>
  <c r="M2" i="4"/>
  <c r="N2" i="4"/>
  <c r="O2" i="4"/>
  <c r="P2" i="4"/>
  <c r="L3" i="4"/>
  <c r="K3" i="4"/>
  <c r="M3" i="4"/>
  <c r="N3" i="4"/>
  <c r="O3" i="4"/>
  <c r="P3" i="4"/>
  <c r="L4" i="4"/>
  <c r="K4" i="4"/>
  <c r="M4" i="4"/>
  <c r="N4" i="4"/>
  <c r="O4" i="4"/>
  <c r="P4" i="4"/>
  <c r="L5" i="4"/>
  <c r="K5" i="4"/>
  <c r="M5" i="4"/>
  <c r="N5" i="4"/>
  <c r="O5" i="4"/>
  <c r="P5" i="4"/>
  <c r="L6" i="4"/>
  <c r="K6" i="4"/>
  <c r="M6" i="4"/>
  <c r="N6" i="4"/>
  <c r="O6" i="4"/>
  <c r="P6" i="4"/>
  <c r="L7" i="4"/>
  <c r="K7" i="4"/>
  <c r="M7" i="4"/>
  <c r="N7" i="4"/>
  <c r="O7" i="4"/>
  <c r="P7" i="4"/>
  <c r="L8" i="4"/>
  <c r="K8" i="4"/>
  <c r="M8" i="4"/>
  <c r="N8" i="4"/>
  <c r="O8" i="4"/>
  <c r="P8" i="4"/>
  <c r="L9" i="4"/>
  <c r="K9" i="4"/>
  <c r="M9" i="4"/>
  <c r="N9" i="4"/>
  <c r="O9" i="4"/>
  <c r="P9" i="4"/>
  <c r="L10" i="4"/>
  <c r="K10" i="4"/>
  <c r="M10" i="4"/>
  <c r="N10" i="4"/>
  <c r="O10" i="4"/>
  <c r="P10" i="4"/>
  <c r="L11" i="4"/>
  <c r="K11" i="4"/>
  <c r="M11" i="4"/>
  <c r="N11" i="4"/>
  <c r="O11" i="4"/>
  <c r="P11" i="4"/>
  <c r="L12" i="4"/>
  <c r="K12" i="4"/>
  <c r="M12" i="4"/>
  <c r="N12" i="4"/>
  <c r="O12" i="4"/>
  <c r="P12" i="4"/>
  <c r="L13" i="4"/>
  <c r="K13" i="4"/>
  <c r="M13" i="4"/>
  <c r="N13" i="4"/>
  <c r="O13" i="4"/>
  <c r="P13" i="4"/>
  <c r="L14" i="4"/>
  <c r="K14" i="4"/>
  <c r="M14" i="4"/>
  <c r="N14" i="4"/>
  <c r="O14" i="4"/>
  <c r="P14" i="4"/>
  <c r="L15" i="4"/>
  <c r="K15" i="4"/>
  <c r="M15" i="4"/>
  <c r="N15" i="4"/>
  <c r="O15" i="4"/>
  <c r="P15" i="4"/>
  <c r="L16" i="4"/>
  <c r="K16" i="4"/>
  <c r="M16" i="4"/>
  <c r="N16" i="4"/>
  <c r="O16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B16" i="4"/>
  <c r="C5" i="7"/>
  <c r="C41" i="7"/>
  <c r="C4" i="7"/>
  <c r="C40" i="7"/>
  <c r="C37" i="7"/>
  <c r="C36" i="7"/>
  <c r="B3" i="3"/>
  <c r="D2" i="3"/>
  <c r="B2" i="3"/>
  <c r="F2" i="3"/>
  <c r="G2" i="3"/>
  <c r="AH2" i="1"/>
  <c r="E2" i="3"/>
  <c r="H2" i="3"/>
  <c r="I2" i="3"/>
  <c r="D3" i="3"/>
  <c r="F3" i="3"/>
  <c r="G3" i="3"/>
  <c r="AH3" i="1"/>
  <c r="E3" i="3"/>
  <c r="H3" i="3"/>
  <c r="I3" i="3"/>
  <c r="D4" i="3"/>
  <c r="F4" i="3"/>
  <c r="G4" i="3"/>
  <c r="AH4" i="1"/>
  <c r="E4" i="3"/>
  <c r="H4" i="3"/>
  <c r="I4" i="3"/>
  <c r="D5" i="3"/>
  <c r="F5" i="3"/>
  <c r="G5" i="3"/>
  <c r="AH5" i="1"/>
  <c r="E5" i="3"/>
  <c r="H5" i="3"/>
  <c r="I5" i="3"/>
  <c r="D6" i="3"/>
  <c r="F6" i="3"/>
  <c r="G6" i="3"/>
  <c r="AH6" i="1"/>
  <c r="E6" i="3"/>
  <c r="H6" i="3"/>
  <c r="I6" i="3"/>
  <c r="D7" i="3"/>
  <c r="F7" i="3"/>
  <c r="G7" i="3"/>
  <c r="AH7" i="1"/>
  <c r="E7" i="3"/>
  <c r="H7" i="3"/>
  <c r="I7" i="3"/>
  <c r="D8" i="3"/>
  <c r="F8" i="3"/>
  <c r="G8" i="3"/>
  <c r="AH8" i="1"/>
  <c r="E8" i="3"/>
  <c r="H8" i="3"/>
  <c r="I8" i="3"/>
  <c r="D9" i="3"/>
  <c r="F9" i="3"/>
  <c r="G9" i="3"/>
  <c r="AH9" i="1"/>
  <c r="E9" i="3"/>
  <c r="H9" i="3"/>
  <c r="I9" i="3"/>
  <c r="D10" i="3"/>
  <c r="F10" i="3"/>
  <c r="G10" i="3"/>
  <c r="AH10" i="1"/>
  <c r="E10" i="3"/>
  <c r="H10" i="3"/>
  <c r="I10" i="3"/>
  <c r="D11" i="3"/>
  <c r="F11" i="3"/>
  <c r="G11" i="3"/>
  <c r="AH11" i="1"/>
  <c r="E11" i="3"/>
  <c r="H11" i="3"/>
  <c r="I11" i="3"/>
  <c r="D12" i="3"/>
  <c r="F12" i="3"/>
  <c r="G12" i="3"/>
  <c r="AH12" i="1"/>
  <c r="E12" i="3"/>
  <c r="H12" i="3"/>
  <c r="I12" i="3"/>
  <c r="D13" i="3"/>
  <c r="F13" i="3"/>
  <c r="G13" i="3"/>
  <c r="AH13" i="1"/>
  <c r="E13" i="3"/>
  <c r="H13" i="3"/>
  <c r="I13" i="3"/>
  <c r="D14" i="3"/>
  <c r="F14" i="3"/>
  <c r="G14" i="3"/>
  <c r="AH14" i="1"/>
  <c r="E14" i="3"/>
  <c r="H14" i="3"/>
  <c r="I14" i="3"/>
  <c r="D15" i="3"/>
  <c r="F15" i="3"/>
  <c r="G15" i="3"/>
  <c r="AH15" i="1"/>
  <c r="E15" i="3"/>
  <c r="H15" i="3"/>
  <c r="I15" i="3"/>
  <c r="D16" i="3"/>
  <c r="F16" i="3"/>
  <c r="G16" i="3"/>
  <c r="AH16" i="1"/>
  <c r="E16" i="3"/>
  <c r="H16" i="3"/>
  <c r="I16" i="3"/>
  <c r="D17" i="3"/>
  <c r="F17" i="3"/>
  <c r="G17" i="3"/>
  <c r="AH17" i="1"/>
  <c r="E17" i="3"/>
  <c r="H17" i="3"/>
  <c r="I17" i="3"/>
  <c r="D18" i="3"/>
  <c r="F18" i="3"/>
  <c r="G18" i="3"/>
  <c r="AH18" i="1"/>
  <c r="E18" i="3"/>
  <c r="H18" i="3"/>
  <c r="I18" i="3"/>
  <c r="D19" i="3"/>
  <c r="F19" i="3"/>
  <c r="G19" i="3"/>
  <c r="AH19" i="1"/>
  <c r="E19" i="3"/>
  <c r="H19" i="3"/>
  <c r="I19" i="3"/>
  <c r="D20" i="3"/>
  <c r="F20" i="3"/>
  <c r="G20" i="3"/>
  <c r="AH20" i="1"/>
  <c r="E20" i="3"/>
  <c r="H20" i="3"/>
  <c r="I20" i="3"/>
  <c r="D21" i="3"/>
  <c r="F21" i="3"/>
  <c r="G21" i="3"/>
  <c r="AH21" i="1"/>
  <c r="E21" i="3"/>
  <c r="H21" i="3"/>
  <c r="I21" i="3"/>
  <c r="D22" i="3"/>
  <c r="F22" i="3"/>
  <c r="G22" i="3"/>
  <c r="AH22" i="1"/>
  <c r="E22" i="3"/>
  <c r="H22" i="3"/>
  <c r="I22" i="3"/>
  <c r="D23" i="3"/>
  <c r="F23" i="3"/>
  <c r="G23" i="3"/>
  <c r="AH23" i="1"/>
  <c r="E23" i="3"/>
  <c r="H23" i="3"/>
  <c r="I23" i="3"/>
  <c r="D24" i="3"/>
  <c r="F24" i="3"/>
  <c r="G24" i="3"/>
  <c r="AH24" i="1"/>
  <c r="E24" i="3"/>
  <c r="H24" i="3"/>
  <c r="I24" i="3"/>
  <c r="D25" i="3"/>
  <c r="F25" i="3"/>
  <c r="G25" i="3"/>
  <c r="AH25" i="1"/>
  <c r="E25" i="3"/>
  <c r="H25" i="3"/>
  <c r="I25" i="3"/>
  <c r="D26" i="3"/>
  <c r="F26" i="3"/>
  <c r="G26" i="3"/>
  <c r="AH26" i="1"/>
  <c r="E26" i="3"/>
  <c r="H26" i="3"/>
  <c r="I26" i="3"/>
  <c r="D27" i="3"/>
  <c r="F27" i="3"/>
  <c r="G27" i="3"/>
  <c r="AH27" i="1"/>
  <c r="E27" i="3"/>
  <c r="H27" i="3"/>
  <c r="I27" i="3"/>
  <c r="D28" i="3"/>
  <c r="F28" i="3"/>
  <c r="G28" i="3"/>
  <c r="AH28" i="1"/>
  <c r="E28" i="3"/>
  <c r="H28" i="3"/>
  <c r="I28" i="3"/>
  <c r="D29" i="3"/>
  <c r="F29" i="3"/>
  <c r="G29" i="3"/>
  <c r="AH29" i="1"/>
  <c r="E29" i="3"/>
  <c r="H29" i="3"/>
  <c r="I29" i="3"/>
  <c r="D30" i="3"/>
  <c r="F30" i="3"/>
  <c r="G30" i="3"/>
  <c r="AH30" i="1"/>
  <c r="E30" i="3"/>
  <c r="H30" i="3"/>
  <c r="I30" i="3"/>
  <c r="D31" i="3"/>
  <c r="F31" i="3"/>
  <c r="G31" i="3"/>
  <c r="AH31" i="1"/>
  <c r="E31" i="3"/>
  <c r="H31" i="3"/>
  <c r="I31" i="3"/>
  <c r="D32" i="3"/>
  <c r="F32" i="3"/>
  <c r="G32" i="3"/>
  <c r="AH32" i="1"/>
  <c r="E32" i="3"/>
  <c r="H32" i="3"/>
  <c r="I32" i="3"/>
  <c r="D33" i="3"/>
  <c r="F33" i="3"/>
  <c r="G33" i="3"/>
  <c r="AH33" i="1"/>
  <c r="E33" i="3"/>
  <c r="H33" i="3"/>
  <c r="I33" i="3"/>
  <c r="D34" i="3"/>
  <c r="F34" i="3"/>
  <c r="G34" i="3"/>
  <c r="AH34" i="1"/>
  <c r="E34" i="3"/>
  <c r="H34" i="3"/>
  <c r="I34" i="3"/>
  <c r="D35" i="3"/>
  <c r="F35" i="3"/>
  <c r="G35" i="3"/>
  <c r="AH35" i="1"/>
  <c r="E35" i="3"/>
  <c r="H35" i="3"/>
  <c r="I35" i="3"/>
  <c r="D36" i="3"/>
  <c r="F36" i="3"/>
  <c r="G36" i="3"/>
  <c r="AH36" i="1"/>
  <c r="E36" i="3"/>
  <c r="H36" i="3"/>
  <c r="I36" i="3"/>
  <c r="D37" i="3"/>
  <c r="F37" i="3"/>
  <c r="G37" i="3"/>
  <c r="AH37" i="1"/>
  <c r="E37" i="3"/>
  <c r="H37" i="3"/>
  <c r="I37" i="3"/>
  <c r="D38" i="3"/>
  <c r="F38" i="3"/>
  <c r="G38" i="3"/>
  <c r="AH38" i="1"/>
  <c r="E38" i="3"/>
  <c r="H38" i="3"/>
  <c r="I38" i="3"/>
  <c r="D39" i="3"/>
  <c r="F39" i="3"/>
  <c r="G39" i="3"/>
  <c r="AH39" i="1"/>
  <c r="E39" i="3"/>
  <c r="H39" i="3"/>
  <c r="I39" i="3"/>
  <c r="D40" i="3"/>
  <c r="F40" i="3"/>
  <c r="G40" i="3"/>
  <c r="AH40" i="1"/>
  <c r="E40" i="3"/>
  <c r="H40" i="3"/>
  <c r="I40" i="3"/>
  <c r="D41" i="3"/>
  <c r="F41" i="3"/>
  <c r="G41" i="3"/>
  <c r="AH41" i="1"/>
  <c r="E41" i="3"/>
  <c r="H41" i="3"/>
  <c r="I41" i="3"/>
  <c r="D42" i="3"/>
  <c r="F42" i="3"/>
  <c r="G42" i="3"/>
  <c r="AH42" i="1"/>
  <c r="E42" i="3"/>
  <c r="H42" i="3"/>
  <c r="I42" i="3"/>
  <c r="D43" i="3"/>
  <c r="F43" i="3"/>
  <c r="G43" i="3"/>
  <c r="AH43" i="1"/>
  <c r="E43" i="3"/>
  <c r="H43" i="3"/>
  <c r="I43" i="3"/>
  <c r="D44" i="3"/>
  <c r="F44" i="3"/>
  <c r="G44" i="3"/>
  <c r="AH44" i="1"/>
  <c r="E44" i="3"/>
  <c r="H44" i="3"/>
  <c r="I44" i="3"/>
  <c r="D45" i="3"/>
  <c r="F45" i="3"/>
  <c r="G45" i="3"/>
  <c r="AH45" i="1"/>
  <c r="E45" i="3"/>
  <c r="H45" i="3"/>
  <c r="I45" i="3"/>
  <c r="D46" i="3"/>
  <c r="F46" i="3"/>
  <c r="G46" i="3"/>
  <c r="AH46" i="1"/>
  <c r="E46" i="3"/>
  <c r="H46" i="3"/>
  <c r="I46" i="3"/>
  <c r="D47" i="3"/>
  <c r="F47" i="3"/>
  <c r="G47" i="3"/>
  <c r="AH47" i="1"/>
  <c r="E47" i="3"/>
  <c r="H47" i="3"/>
  <c r="I47" i="3"/>
  <c r="D48" i="3"/>
  <c r="F48" i="3"/>
  <c r="G48" i="3"/>
  <c r="AH48" i="1"/>
  <c r="E48" i="3"/>
  <c r="H48" i="3"/>
  <c r="I48" i="3"/>
  <c r="D49" i="3"/>
  <c r="F49" i="3"/>
  <c r="G49" i="3"/>
  <c r="Y49" i="1"/>
  <c r="AA49" i="1"/>
  <c r="Z49" i="1"/>
  <c r="AB49" i="1"/>
  <c r="AE49" i="1"/>
  <c r="AF49" i="1"/>
  <c r="AG49" i="1"/>
  <c r="AH49" i="1"/>
  <c r="E49" i="3"/>
  <c r="H49" i="3"/>
  <c r="I49" i="3"/>
  <c r="D50" i="3"/>
  <c r="F50" i="3"/>
  <c r="G50" i="3"/>
  <c r="Y50" i="1"/>
  <c r="AA50" i="1"/>
  <c r="Z50" i="1"/>
  <c r="AB50" i="1"/>
  <c r="AE50" i="1"/>
  <c r="AF50" i="1"/>
  <c r="AG50" i="1"/>
  <c r="AH50" i="1"/>
  <c r="E50" i="3"/>
  <c r="H50" i="3"/>
  <c r="I50" i="3"/>
  <c r="D51" i="3"/>
  <c r="F51" i="3"/>
  <c r="G51" i="3"/>
  <c r="Y51" i="1"/>
  <c r="AA51" i="1"/>
  <c r="Z51" i="1"/>
  <c r="AB51" i="1"/>
  <c r="AE51" i="1"/>
  <c r="AF51" i="1"/>
  <c r="AG51" i="1"/>
  <c r="AH51" i="1"/>
  <c r="E51" i="3"/>
  <c r="H51" i="3"/>
  <c r="I51" i="3"/>
  <c r="K2" i="3"/>
  <c r="M2" i="3"/>
  <c r="N2" i="3"/>
  <c r="L2" i="3"/>
  <c r="O2" i="3"/>
  <c r="P2" i="3"/>
  <c r="K3" i="3"/>
  <c r="M3" i="3"/>
  <c r="N3" i="3"/>
  <c r="L3" i="3"/>
  <c r="O3" i="3"/>
  <c r="P3" i="3"/>
  <c r="K4" i="3"/>
  <c r="M4" i="3"/>
  <c r="N4" i="3"/>
  <c r="L4" i="3"/>
  <c r="O4" i="3"/>
  <c r="P4" i="3"/>
  <c r="K5" i="3"/>
  <c r="M5" i="3"/>
  <c r="N5" i="3"/>
  <c r="L5" i="3"/>
  <c r="O5" i="3"/>
  <c r="P5" i="3"/>
  <c r="K6" i="3"/>
  <c r="M6" i="3"/>
  <c r="N6" i="3"/>
  <c r="L6" i="3"/>
  <c r="O6" i="3"/>
  <c r="P6" i="3"/>
  <c r="K7" i="3"/>
  <c r="M7" i="3"/>
  <c r="N7" i="3"/>
  <c r="L7" i="3"/>
  <c r="O7" i="3"/>
  <c r="P7" i="3"/>
  <c r="K8" i="3"/>
  <c r="M8" i="3"/>
  <c r="N8" i="3"/>
  <c r="L8" i="3"/>
  <c r="O8" i="3"/>
  <c r="P8" i="3"/>
  <c r="K9" i="3"/>
  <c r="M9" i="3"/>
  <c r="N9" i="3"/>
  <c r="L9" i="3"/>
  <c r="O9" i="3"/>
  <c r="P9" i="3"/>
  <c r="K10" i="3"/>
  <c r="M10" i="3"/>
  <c r="N10" i="3"/>
  <c r="L10" i="3"/>
  <c r="O10" i="3"/>
  <c r="P10" i="3"/>
  <c r="K11" i="3"/>
  <c r="M11" i="3"/>
  <c r="N11" i="3"/>
  <c r="L11" i="3"/>
  <c r="O11" i="3"/>
  <c r="P11" i="3"/>
  <c r="K12" i="3"/>
  <c r="M12" i="3"/>
  <c r="N12" i="3"/>
  <c r="L12" i="3"/>
  <c r="O12" i="3"/>
  <c r="P12" i="3"/>
  <c r="K13" i="3"/>
  <c r="M13" i="3"/>
  <c r="N13" i="3"/>
  <c r="L13" i="3"/>
  <c r="O13" i="3"/>
  <c r="P13" i="3"/>
  <c r="K14" i="3"/>
  <c r="M14" i="3"/>
  <c r="N14" i="3"/>
  <c r="L14" i="3"/>
  <c r="O14" i="3"/>
  <c r="P14" i="3"/>
  <c r="K15" i="3"/>
  <c r="M15" i="3"/>
  <c r="N15" i="3"/>
  <c r="L15" i="3"/>
  <c r="O15" i="3"/>
  <c r="P15" i="3"/>
  <c r="K16" i="3"/>
  <c r="M16" i="3"/>
  <c r="N16" i="3"/>
  <c r="L16" i="3"/>
  <c r="O16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B16" i="3"/>
  <c r="C3" i="7"/>
  <c r="C35" i="7"/>
  <c r="H29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H30" i="1"/>
  <c r="H31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H32" i="1"/>
  <c r="H33" i="1"/>
  <c r="H34" i="1"/>
  <c r="H28" i="1"/>
  <c r="H7" i="1"/>
  <c r="H35" i="1"/>
  <c r="C2" i="7"/>
  <c r="C34" i="7"/>
  <c r="B6" i="7"/>
  <c r="B42" i="7"/>
  <c r="B5" i="7"/>
  <c r="B41" i="7"/>
  <c r="B3" i="7"/>
  <c r="B4" i="7"/>
  <c r="B40" i="7"/>
  <c r="B37" i="7"/>
  <c r="B36" i="7"/>
  <c r="B35" i="7"/>
  <c r="H36" i="1"/>
  <c r="B2" i="7"/>
  <c r="B34" i="7"/>
  <c r="B3" i="6"/>
  <c r="D2" i="6"/>
  <c r="B2" i="6"/>
  <c r="F2" i="6"/>
  <c r="G2" i="6"/>
  <c r="E2" i="6"/>
  <c r="H2" i="6"/>
  <c r="I2" i="6"/>
  <c r="D3" i="6"/>
  <c r="F3" i="6"/>
  <c r="G3" i="6"/>
  <c r="E3" i="6"/>
  <c r="H3" i="6"/>
  <c r="I3" i="6"/>
  <c r="D4" i="6"/>
  <c r="F4" i="6"/>
  <c r="G4" i="6"/>
  <c r="E4" i="6"/>
  <c r="H4" i="6"/>
  <c r="I4" i="6"/>
  <c r="D5" i="6"/>
  <c r="F5" i="6"/>
  <c r="G5" i="6"/>
  <c r="E5" i="6"/>
  <c r="H5" i="6"/>
  <c r="I5" i="6"/>
  <c r="D6" i="6"/>
  <c r="F6" i="6"/>
  <c r="G6" i="6"/>
  <c r="E6" i="6"/>
  <c r="H6" i="6"/>
  <c r="I6" i="6"/>
  <c r="D7" i="6"/>
  <c r="F7" i="6"/>
  <c r="G7" i="6"/>
  <c r="E7" i="6"/>
  <c r="H7" i="6"/>
  <c r="I7" i="6"/>
  <c r="D8" i="6"/>
  <c r="F8" i="6"/>
  <c r="G8" i="6"/>
  <c r="E8" i="6"/>
  <c r="H8" i="6"/>
  <c r="I8" i="6"/>
  <c r="D9" i="6"/>
  <c r="F9" i="6"/>
  <c r="G9" i="6"/>
  <c r="E9" i="6"/>
  <c r="H9" i="6"/>
  <c r="I9" i="6"/>
  <c r="D10" i="6"/>
  <c r="F10" i="6"/>
  <c r="G10" i="6"/>
  <c r="E10" i="6"/>
  <c r="H10" i="6"/>
  <c r="I10" i="6"/>
  <c r="D11" i="6"/>
  <c r="F11" i="6"/>
  <c r="G11" i="6"/>
  <c r="E11" i="6"/>
  <c r="H11" i="6"/>
  <c r="I11" i="6"/>
  <c r="D12" i="6"/>
  <c r="F12" i="6"/>
  <c r="G12" i="6"/>
  <c r="E12" i="6"/>
  <c r="H12" i="6"/>
  <c r="I12" i="6"/>
  <c r="D13" i="6"/>
  <c r="F13" i="6"/>
  <c r="G13" i="6"/>
  <c r="E13" i="6"/>
  <c r="H13" i="6"/>
  <c r="I13" i="6"/>
  <c r="D14" i="6"/>
  <c r="F14" i="6"/>
  <c r="G14" i="6"/>
  <c r="E14" i="6"/>
  <c r="H14" i="6"/>
  <c r="I14" i="6"/>
  <c r="D15" i="6"/>
  <c r="F15" i="6"/>
  <c r="G15" i="6"/>
  <c r="E15" i="6"/>
  <c r="H15" i="6"/>
  <c r="I15" i="6"/>
  <c r="D16" i="6"/>
  <c r="F16" i="6"/>
  <c r="G16" i="6"/>
  <c r="E16" i="6"/>
  <c r="H16" i="6"/>
  <c r="I16" i="6"/>
  <c r="D17" i="6"/>
  <c r="F17" i="6"/>
  <c r="G17" i="6"/>
  <c r="E17" i="6"/>
  <c r="H17" i="6"/>
  <c r="I17" i="6"/>
  <c r="D18" i="6"/>
  <c r="F18" i="6"/>
  <c r="G18" i="6"/>
  <c r="E18" i="6"/>
  <c r="H18" i="6"/>
  <c r="I18" i="6"/>
  <c r="D19" i="6"/>
  <c r="F19" i="6"/>
  <c r="G19" i="6"/>
  <c r="E19" i="6"/>
  <c r="H19" i="6"/>
  <c r="I19" i="6"/>
  <c r="D20" i="6"/>
  <c r="F20" i="6"/>
  <c r="G20" i="6"/>
  <c r="E20" i="6"/>
  <c r="H20" i="6"/>
  <c r="I20" i="6"/>
  <c r="D21" i="6"/>
  <c r="F21" i="6"/>
  <c r="G21" i="6"/>
  <c r="E21" i="6"/>
  <c r="H21" i="6"/>
  <c r="I21" i="6"/>
  <c r="D22" i="6"/>
  <c r="F22" i="6"/>
  <c r="G22" i="6"/>
  <c r="E22" i="6"/>
  <c r="H22" i="6"/>
  <c r="I22" i="6"/>
  <c r="D23" i="6"/>
  <c r="F23" i="6"/>
  <c r="G23" i="6"/>
  <c r="E23" i="6"/>
  <c r="H23" i="6"/>
  <c r="I23" i="6"/>
  <c r="D24" i="6"/>
  <c r="F24" i="6"/>
  <c r="G24" i="6"/>
  <c r="E24" i="6"/>
  <c r="H24" i="6"/>
  <c r="I24" i="6"/>
  <c r="D25" i="6"/>
  <c r="F25" i="6"/>
  <c r="G25" i="6"/>
  <c r="E25" i="6"/>
  <c r="H25" i="6"/>
  <c r="I25" i="6"/>
  <c r="D26" i="6"/>
  <c r="F26" i="6"/>
  <c r="G26" i="6"/>
  <c r="E26" i="6"/>
  <c r="H26" i="6"/>
  <c r="I26" i="6"/>
  <c r="D27" i="6"/>
  <c r="F27" i="6"/>
  <c r="G27" i="6"/>
  <c r="E27" i="6"/>
  <c r="H27" i="6"/>
  <c r="I27" i="6"/>
  <c r="D28" i="6"/>
  <c r="F28" i="6"/>
  <c r="G28" i="6"/>
  <c r="E28" i="6"/>
  <c r="H28" i="6"/>
  <c r="I28" i="6"/>
  <c r="D29" i="6"/>
  <c r="F29" i="6"/>
  <c r="G29" i="6"/>
  <c r="E29" i="6"/>
  <c r="H29" i="6"/>
  <c r="I29" i="6"/>
  <c r="D30" i="6"/>
  <c r="F30" i="6"/>
  <c r="G30" i="6"/>
  <c r="E30" i="6"/>
  <c r="H30" i="6"/>
  <c r="I30" i="6"/>
  <c r="D31" i="6"/>
  <c r="F31" i="6"/>
  <c r="G31" i="6"/>
  <c r="E31" i="6"/>
  <c r="H31" i="6"/>
  <c r="I31" i="6"/>
  <c r="D32" i="6"/>
  <c r="F32" i="6"/>
  <c r="G32" i="6"/>
  <c r="E32" i="6"/>
  <c r="H32" i="6"/>
  <c r="I32" i="6"/>
  <c r="D33" i="6"/>
  <c r="F33" i="6"/>
  <c r="G33" i="6"/>
  <c r="E33" i="6"/>
  <c r="H33" i="6"/>
  <c r="I33" i="6"/>
  <c r="D34" i="6"/>
  <c r="F34" i="6"/>
  <c r="G34" i="6"/>
  <c r="E34" i="6"/>
  <c r="H34" i="6"/>
  <c r="I34" i="6"/>
  <c r="D35" i="6"/>
  <c r="F35" i="6"/>
  <c r="G35" i="6"/>
  <c r="E35" i="6"/>
  <c r="H35" i="6"/>
  <c r="I35" i="6"/>
  <c r="D36" i="6"/>
  <c r="F36" i="6"/>
  <c r="G36" i="6"/>
  <c r="E36" i="6"/>
  <c r="H36" i="6"/>
  <c r="I36" i="6"/>
  <c r="D37" i="6"/>
  <c r="F37" i="6"/>
  <c r="G37" i="6"/>
  <c r="E37" i="6"/>
  <c r="H37" i="6"/>
  <c r="I37" i="6"/>
  <c r="D38" i="6"/>
  <c r="F38" i="6"/>
  <c r="G38" i="6"/>
  <c r="E38" i="6"/>
  <c r="H38" i="6"/>
  <c r="I38" i="6"/>
  <c r="D39" i="6"/>
  <c r="F39" i="6"/>
  <c r="G39" i="6"/>
  <c r="E39" i="6"/>
  <c r="H39" i="6"/>
  <c r="I39" i="6"/>
  <c r="D40" i="6"/>
  <c r="F40" i="6"/>
  <c r="G40" i="6"/>
  <c r="E40" i="6"/>
  <c r="H40" i="6"/>
  <c r="I40" i="6"/>
  <c r="D41" i="6"/>
  <c r="F41" i="6"/>
  <c r="G41" i="6"/>
  <c r="E41" i="6"/>
  <c r="H41" i="6"/>
  <c r="I41" i="6"/>
  <c r="D42" i="6"/>
  <c r="F42" i="6"/>
  <c r="G42" i="6"/>
  <c r="E42" i="6"/>
  <c r="H42" i="6"/>
  <c r="I42" i="6"/>
  <c r="D43" i="6"/>
  <c r="F43" i="6"/>
  <c r="G43" i="6"/>
  <c r="E43" i="6"/>
  <c r="H43" i="6"/>
  <c r="I43" i="6"/>
  <c r="D44" i="6"/>
  <c r="F44" i="6"/>
  <c r="G44" i="6"/>
  <c r="E44" i="6"/>
  <c r="H44" i="6"/>
  <c r="I44" i="6"/>
  <c r="D45" i="6"/>
  <c r="F45" i="6"/>
  <c r="G45" i="6"/>
  <c r="E45" i="6"/>
  <c r="H45" i="6"/>
  <c r="I45" i="6"/>
  <c r="D46" i="6"/>
  <c r="F46" i="6"/>
  <c r="G46" i="6"/>
  <c r="E46" i="6"/>
  <c r="H46" i="6"/>
  <c r="I46" i="6"/>
  <c r="D47" i="6"/>
  <c r="F47" i="6"/>
  <c r="G47" i="6"/>
  <c r="E47" i="6"/>
  <c r="H47" i="6"/>
  <c r="I47" i="6"/>
  <c r="D48" i="6"/>
  <c r="F48" i="6"/>
  <c r="G48" i="6"/>
  <c r="E48" i="6"/>
  <c r="H48" i="6"/>
  <c r="I48" i="6"/>
  <c r="D49" i="6"/>
  <c r="F49" i="6"/>
  <c r="G49" i="6"/>
  <c r="E49" i="6"/>
  <c r="H49" i="6"/>
  <c r="I49" i="6"/>
  <c r="D50" i="6"/>
  <c r="F50" i="6"/>
  <c r="G50" i="6"/>
  <c r="E50" i="6"/>
  <c r="H50" i="6"/>
  <c r="I50" i="6"/>
  <c r="D51" i="6"/>
  <c r="F51" i="6"/>
  <c r="G51" i="6"/>
  <c r="E51" i="6"/>
  <c r="H51" i="6"/>
  <c r="I51" i="6"/>
  <c r="K2" i="6"/>
  <c r="M2" i="6"/>
  <c r="N2" i="6"/>
  <c r="L2" i="6"/>
  <c r="O2" i="6"/>
  <c r="P2" i="6"/>
  <c r="K3" i="6"/>
  <c r="M3" i="6"/>
  <c r="N3" i="6"/>
  <c r="L3" i="6"/>
  <c r="O3" i="6"/>
  <c r="P3" i="6"/>
  <c r="K4" i="6"/>
  <c r="M4" i="6"/>
  <c r="N4" i="6"/>
  <c r="L4" i="6"/>
  <c r="O4" i="6"/>
  <c r="P4" i="6"/>
  <c r="K5" i="6"/>
  <c r="M5" i="6"/>
  <c r="N5" i="6"/>
  <c r="L5" i="6"/>
  <c r="O5" i="6"/>
  <c r="P5" i="6"/>
  <c r="K6" i="6"/>
  <c r="M6" i="6"/>
  <c r="N6" i="6"/>
  <c r="L6" i="6"/>
  <c r="O6" i="6"/>
  <c r="P6" i="6"/>
  <c r="K7" i="6"/>
  <c r="M7" i="6"/>
  <c r="N7" i="6"/>
  <c r="L7" i="6"/>
  <c r="O7" i="6"/>
  <c r="P7" i="6"/>
  <c r="K8" i="6"/>
  <c r="M8" i="6"/>
  <c r="N8" i="6"/>
  <c r="L8" i="6"/>
  <c r="O8" i="6"/>
  <c r="P8" i="6"/>
  <c r="K9" i="6"/>
  <c r="M9" i="6"/>
  <c r="N9" i="6"/>
  <c r="L9" i="6"/>
  <c r="O9" i="6"/>
  <c r="P9" i="6"/>
  <c r="K10" i="6"/>
  <c r="M10" i="6"/>
  <c r="N10" i="6"/>
  <c r="L10" i="6"/>
  <c r="O10" i="6"/>
  <c r="P10" i="6"/>
  <c r="K11" i="6"/>
  <c r="M11" i="6"/>
  <c r="N11" i="6"/>
  <c r="L11" i="6"/>
  <c r="O11" i="6"/>
  <c r="P11" i="6"/>
  <c r="K12" i="6"/>
  <c r="M12" i="6"/>
  <c r="N12" i="6"/>
  <c r="L12" i="6"/>
  <c r="O12" i="6"/>
  <c r="P12" i="6"/>
  <c r="K13" i="6"/>
  <c r="M13" i="6"/>
  <c r="N13" i="6"/>
  <c r="L13" i="6"/>
  <c r="O13" i="6"/>
  <c r="P13" i="6"/>
  <c r="K14" i="6"/>
  <c r="M14" i="6"/>
  <c r="N14" i="6"/>
  <c r="L14" i="6"/>
  <c r="O14" i="6"/>
  <c r="P14" i="6"/>
  <c r="K15" i="6"/>
  <c r="M15" i="6"/>
  <c r="N15" i="6"/>
  <c r="L15" i="6"/>
  <c r="O15" i="6"/>
  <c r="P15" i="6"/>
  <c r="K16" i="6"/>
  <c r="M16" i="6"/>
  <c r="N16" i="6"/>
  <c r="L16" i="6"/>
  <c r="O16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B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B4" i="6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B4" i="5"/>
  <c r="N51" i="6"/>
  <c r="M51" i="6"/>
  <c r="L51" i="6"/>
  <c r="K51" i="6"/>
  <c r="N50" i="6"/>
  <c r="M50" i="6"/>
  <c r="L50" i="6"/>
  <c r="K50" i="6"/>
  <c r="N49" i="6"/>
  <c r="M49" i="6"/>
  <c r="L49" i="6"/>
  <c r="K49" i="6"/>
  <c r="N48" i="6"/>
  <c r="M48" i="6"/>
  <c r="L48" i="6"/>
  <c r="K48" i="6"/>
  <c r="N47" i="6"/>
  <c r="M47" i="6"/>
  <c r="L47" i="6"/>
  <c r="K47" i="6"/>
  <c r="N46" i="6"/>
  <c r="M46" i="6"/>
  <c r="L46" i="6"/>
  <c r="K46" i="6"/>
  <c r="N45" i="6"/>
  <c r="M45" i="6"/>
  <c r="L45" i="6"/>
  <c r="K45" i="6"/>
  <c r="N44" i="6"/>
  <c r="M44" i="6"/>
  <c r="L44" i="6"/>
  <c r="K44" i="6"/>
  <c r="N43" i="6"/>
  <c r="M43" i="6"/>
  <c r="L43" i="6"/>
  <c r="K43" i="6"/>
  <c r="N42" i="6"/>
  <c r="M42" i="6"/>
  <c r="L42" i="6"/>
  <c r="K42" i="6"/>
  <c r="N41" i="6"/>
  <c r="M41" i="6"/>
  <c r="L41" i="6"/>
  <c r="K41" i="6"/>
  <c r="N40" i="6"/>
  <c r="M40" i="6"/>
  <c r="L40" i="6"/>
  <c r="K40" i="6"/>
  <c r="N39" i="6"/>
  <c r="M39" i="6"/>
  <c r="L39" i="6"/>
  <c r="K39" i="6"/>
  <c r="N38" i="6"/>
  <c r="M38" i="6"/>
  <c r="L38" i="6"/>
  <c r="K38" i="6"/>
  <c r="N37" i="6"/>
  <c r="M37" i="6"/>
  <c r="L37" i="6"/>
  <c r="K37" i="6"/>
  <c r="N36" i="6"/>
  <c r="M36" i="6"/>
  <c r="L36" i="6"/>
  <c r="K36" i="6"/>
  <c r="N35" i="6"/>
  <c r="M35" i="6"/>
  <c r="L35" i="6"/>
  <c r="K35" i="6"/>
  <c r="N34" i="6"/>
  <c r="M34" i="6"/>
  <c r="L34" i="6"/>
  <c r="K34" i="6"/>
  <c r="N33" i="6"/>
  <c r="M33" i="6"/>
  <c r="L33" i="6"/>
  <c r="K33" i="6"/>
  <c r="N32" i="6"/>
  <c r="M32" i="6"/>
  <c r="L32" i="6"/>
  <c r="K32" i="6"/>
  <c r="N31" i="6"/>
  <c r="M31" i="6"/>
  <c r="L31" i="6"/>
  <c r="K31" i="6"/>
  <c r="N30" i="6"/>
  <c r="M30" i="6"/>
  <c r="L30" i="6"/>
  <c r="K30" i="6"/>
  <c r="N29" i="6"/>
  <c r="M29" i="6"/>
  <c r="L29" i="6"/>
  <c r="K29" i="6"/>
  <c r="N28" i="6"/>
  <c r="M28" i="6"/>
  <c r="L28" i="6"/>
  <c r="K28" i="6"/>
  <c r="N27" i="6"/>
  <c r="M27" i="6"/>
  <c r="L27" i="6"/>
  <c r="K27" i="6"/>
  <c r="N26" i="6"/>
  <c r="M26" i="6"/>
  <c r="L26" i="6"/>
  <c r="K26" i="6"/>
  <c r="N25" i="6"/>
  <c r="M25" i="6"/>
  <c r="L25" i="6"/>
  <c r="K25" i="6"/>
  <c r="N24" i="6"/>
  <c r="M24" i="6"/>
  <c r="L24" i="6"/>
  <c r="K24" i="6"/>
  <c r="N23" i="6"/>
  <c r="M23" i="6"/>
  <c r="L23" i="6"/>
  <c r="K23" i="6"/>
  <c r="N22" i="6"/>
  <c r="M22" i="6"/>
  <c r="L22" i="6"/>
  <c r="K22" i="6"/>
  <c r="N21" i="6"/>
  <c r="M21" i="6"/>
  <c r="L21" i="6"/>
  <c r="K21" i="6"/>
  <c r="N20" i="6"/>
  <c r="M20" i="6"/>
  <c r="L20" i="6"/>
  <c r="K20" i="6"/>
  <c r="N19" i="6"/>
  <c r="M19" i="6"/>
  <c r="L19" i="6"/>
  <c r="K19" i="6"/>
  <c r="N18" i="6"/>
  <c r="M18" i="6"/>
  <c r="L18" i="6"/>
  <c r="K18" i="6"/>
  <c r="N17" i="6"/>
  <c r="M17" i="6"/>
  <c r="L17" i="6"/>
  <c r="K17" i="6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B4" i="4"/>
  <c r="N51" i="5"/>
  <c r="M51" i="5"/>
  <c r="L51" i="5"/>
  <c r="K51" i="5"/>
  <c r="N50" i="5"/>
  <c r="M50" i="5"/>
  <c r="L50" i="5"/>
  <c r="K50" i="5"/>
  <c r="N49" i="5"/>
  <c r="M49" i="5"/>
  <c r="L49" i="5"/>
  <c r="K49" i="5"/>
  <c r="N48" i="5"/>
  <c r="M48" i="5"/>
  <c r="L48" i="5"/>
  <c r="K48" i="5"/>
  <c r="N47" i="5"/>
  <c r="M47" i="5"/>
  <c r="L47" i="5"/>
  <c r="K47" i="5"/>
  <c r="N46" i="5"/>
  <c r="M46" i="5"/>
  <c r="L46" i="5"/>
  <c r="K46" i="5"/>
  <c r="N45" i="5"/>
  <c r="M45" i="5"/>
  <c r="L45" i="5"/>
  <c r="K45" i="5"/>
  <c r="N44" i="5"/>
  <c r="M44" i="5"/>
  <c r="L44" i="5"/>
  <c r="K44" i="5"/>
  <c r="N43" i="5"/>
  <c r="M43" i="5"/>
  <c r="L43" i="5"/>
  <c r="K43" i="5"/>
  <c r="N42" i="5"/>
  <c r="M42" i="5"/>
  <c r="L42" i="5"/>
  <c r="K42" i="5"/>
  <c r="N41" i="5"/>
  <c r="M41" i="5"/>
  <c r="L41" i="5"/>
  <c r="K41" i="5"/>
  <c r="N40" i="5"/>
  <c r="M40" i="5"/>
  <c r="L40" i="5"/>
  <c r="K40" i="5"/>
  <c r="N39" i="5"/>
  <c r="M39" i="5"/>
  <c r="L39" i="5"/>
  <c r="K39" i="5"/>
  <c r="N38" i="5"/>
  <c r="M38" i="5"/>
  <c r="L38" i="5"/>
  <c r="K38" i="5"/>
  <c r="N37" i="5"/>
  <c r="M37" i="5"/>
  <c r="L37" i="5"/>
  <c r="K37" i="5"/>
  <c r="N36" i="5"/>
  <c r="M36" i="5"/>
  <c r="L36" i="5"/>
  <c r="K36" i="5"/>
  <c r="N35" i="5"/>
  <c r="M35" i="5"/>
  <c r="L35" i="5"/>
  <c r="K35" i="5"/>
  <c r="N34" i="5"/>
  <c r="M34" i="5"/>
  <c r="L34" i="5"/>
  <c r="K34" i="5"/>
  <c r="N33" i="5"/>
  <c r="M33" i="5"/>
  <c r="L33" i="5"/>
  <c r="K33" i="5"/>
  <c r="N32" i="5"/>
  <c r="M32" i="5"/>
  <c r="L32" i="5"/>
  <c r="K32" i="5"/>
  <c r="N31" i="5"/>
  <c r="M31" i="5"/>
  <c r="L31" i="5"/>
  <c r="K31" i="5"/>
  <c r="N30" i="5"/>
  <c r="M30" i="5"/>
  <c r="L30" i="5"/>
  <c r="K30" i="5"/>
  <c r="N29" i="5"/>
  <c r="M29" i="5"/>
  <c r="L29" i="5"/>
  <c r="K29" i="5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51" i="4"/>
  <c r="M51" i="4"/>
  <c r="L51" i="4"/>
  <c r="K51" i="4"/>
  <c r="N50" i="4"/>
  <c r="M50" i="4"/>
  <c r="L50" i="4"/>
  <c r="K50" i="4"/>
  <c r="N49" i="4"/>
  <c r="M49" i="4"/>
  <c r="L49" i="4"/>
  <c r="K49" i="4"/>
  <c r="N48" i="4"/>
  <c r="M48" i="4"/>
  <c r="L48" i="4"/>
  <c r="K48" i="4"/>
  <c r="N47" i="4"/>
  <c r="M47" i="4"/>
  <c r="L47" i="4"/>
  <c r="K47" i="4"/>
  <c r="N46" i="4"/>
  <c r="M46" i="4"/>
  <c r="L46" i="4"/>
  <c r="K46" i="4"/>
  <c r="N45" i="4"/>
  <c r="M45" i="4"/>
  <c r="L45" i="4"/>
  <c r="K45" i="4"/>
  <c r="N44" i="4"/>
  <c r="M44" i="4"/>
  <c r="L44" i="4"/>
  <c r="K44" i="4"/>
  <c r="N43" i="4"/>
  <c r="M43" i="4"/>
  <c r="L43" i="4"/>
  <c r="K43" i="4"/>
  <c r="N42" i="4"/>
  <c r="M42" i="4"/>
  <c r="L42" i="4"/>
  <c r="K42" i="4"/>
  <c r="N41" i="4"/>
  <c r="M41" i="4"/>
  <c r="L41" i="4"/>
  <c r="K41" i="4"/>
  <c r="N40" i="4"/>
  <c r="M40" i="4"/>
  <c r="L40" i="4"/>
  <c r="K40" i="4"/>
  <c r="N39" i="4"/>
  <c r="M39" i="4"/>
  <c r="L39" i="4"/>
  <c r="K39" i="4"/>
  <c r="N38" i="4"/>
  <c r="M38" i="4"/>
  <c r="L38" i="4"/>
  <c r="K38" i="4"/>
  <c r="N37" i="4"/>
  <c r="M37" i="4"/>
  <c r="L37" i="4"/>
  <c r="K37" i="4"/>
  <c r="N36" i="4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L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B4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C19" i="7"/>
  <c r="C54" i="7"/>
  <c r="C53" i="7"/>
  <c r="C52" i="7"/>
  <c r="C49" i="7"/>
  <c r="C48" i="7"/>
  <c r="C12" i="7"/>
  <c r="C47" i="7"/>
  <c r="C11" i="7"/>
  <c r="C46" i="7"/>
  <c r="E3" i="7"/>
  <c r="C14" i="7"/>
  <c r="C8" i="7"/>
  <c r="J3" i="7"/>
  <c r="K3" i="7"/>
  <c r="E4" i="7"/>
  <c r="J4" i="7"/>
  <c r="K4" i="7"/>
  <c r="E5" i="7"/>
  <c r="J5" i="7"/>
  <c r="K5" i="7"/>
  <c r="E6" i="7"/>
  <c r="J6" i="7"/>
  <c r="K6" i="7"/>
  <c r="E7" i="7"/>
  <c r="J7" i="7"/>
  <c r="K7" i="7"/>
  <c r="E8" i="7"/>
  <c r="J8" i="7"/>
  <c r="K8" i="7"/>
  <c r="E9" i="7"/>
  <c r="I9" i="7"/>
  <c r="C9" i="7"/>
  <c r="J9" i="7"/>
  <c r="K9" i="7"/>
  <c r="E10" i="7"/>
  <c r="I10" i="7"/>
  <c r="J10" i="7"/>
  <c r="K10" i="7"/>
  <c r="E11" i="7"/>
  <c r="I11" i="7"/>
  <c r="J11" i="7"/>
  <c r="K11" i="7"/>
  <c r="E12" i="7"/>
  <c r="I12" i="7"/>
  <c r="J12" i="7"/>
  <c r="K12" i="7"/>
  <c r="E13" i="7"/>
  <c r="I13" i="7"/>
  <c r="J13" i="7"/>
  <c r="K13" i="7"/>
  <c r="E14" i="7"/>
  <c r="I14" i="7"/>
  <c r="J14" i="7"/>
  <c r="K14" i="7"/>
  <c r="E15" i="7"/>
  <c r="I15" i="7"/>
  <c r="J15" i="7"/>
  <c r="K15" i="7"/>
  <c r="E16" i="7"/>
  <c r="I16" i="7"/>
  <c r="J16" i="7"/>
  <c r="K16" i="7"/>
  <c r="E17" i="7"/>
  <c r="I17" i="7"/>
  <c r="J17" i="7"/>
  <c r="K17" i="7"/>
  <c r="E18" i="7"/>
  <c r="I18" i="7"/>
  <c r="J18" i="7"/>
  <c r="K18" i="7"/>
  <c r="E19" i="7"/>
  <c r="I19" i="7"/>
  <c r="J19" i="7"/>
  <c r="K19" i="7"/>
  <c r="E20" i="7"/>
  <c r="I20" i="7"/>
  <c r="J20" i="7"/>
  <c r="K20" i="7"/>
  <c r="E21" i="7"/>
  <c r="I21" i="7"/>
  <c r="J21" i="7"/>
  <c r="K21" i="7"/>
  <c r="E22" i="7"/>
  <c r="I22" i="7"/>
  <c r="J22" i="7"/>
  <c r="K22" i="7"/>
  <c r="E23" i="7"/>
  <c r="I23" i="7"/>
  <c r="J23" i="7"/>
  <c r="K23" i="7"/>
  <c r="E24" i="7"/>
  <c r="I24" i="7"/>
  <c r="J24" i="7"/>
  <c r="K24" i="7"/>
  <c r="E25" i="7"/>
  <c r="I25" i="7"/>
  <c r="J25" i="7"/>
  <c r="K25" i="7"/>
  <c r="E26" i="7"/>
  <c r="I26" i="7"/>
  <c r="J26" i="7"/>
  <c r="K26" i="7"/>
  <c r="E27" i="7"/>
  <c r="I27" i="7"/>
  <c r="J27" i="7"/>
  <c r="K27" i="7"/>
  <c r="E28" i="7"/>
  <c r="I28" i="7"/>
  <c r="J28" i="7"/>
  <c r="K28" i="7"/>
  <c r="E29" i="7"/>
  <c r="I29" i="7"/>
  <c r="J29" i="7"/>
  <c r="K29" i="7"/>
  <c r="E30" i="7"/>
  <c r="I30" i="7"/>
  <c r="J30" i="7"/>
  <c r="K30" i="7"/>
  <c r="E31" i="7"/>
  <c r="I31" i="7"/>
  <c r="J31" i="7"/>
  <c r="K31" i="7"/>
  <c r="E32" i="7"/>
  <c r="I32" i="7"/>
  <c r="J32" i="7"/>
  <c r="K32" i="7"/>
  <c r="E33" i="7"/>
  <c r="I33" i="7"/>
  <c r="J33" i="7"/>
  <c r="K33" i="7"/>
  <c r="E34" i="7"/>
  <c r="I34" i="7"/>
  <c r="J34" i="7"/>
  <c r="K34" i="7"/>
  <c r="E35" i="7"/>
  <c r="I35" i="7"/>
  <c r="J35" i="7"/>
  <c r="K35" i="7"/>
  <c r="E36" i="7"/>
  <c r="I36" i="7"/>
  <c r="J36" i="7"/>
  <c r="K36" i="7"/>
  <c r="E37" i="7"/>
  <c r="I37" i="7"/>
  <c r="J37" i="7"/>
  <c r="K37" i="7"/>
  <c r="E38" i="7"/>
  <c r="I38" i="7"/>
  <c r="J38" i="7"/>
  <c r="K38" i="7"/>
  <c r="E39" i="7"/>
  <c r="I39" i="7"/>
  <c r="J39" i="7"/>
  <c r="K39" i="7"/>
  <c r="E40" i="7"/>
  <c r="I40" i="7"/>
  <c r="J40" i="7"/>
  <c r="K40" i="7"/>
  <c r="E41" i="7"/>
  <c r="I41" i="7"/>
  <c r="J41" i="7"/>
  <c r="K41" i="7"/>
  <c r="E42" i="7"/>
  <c r="I42" i="7"/>
  <c r="J42" i="7"/>
  <c r="K42" i="7"/>
  <c r="E43" i="7"/>
  <c r="I43" i="7"/>
  <c r="J43" i="7"/>
  <c r="K43" i="7"/>
  <c r="E44" i="7"/>
  <c r="I44" i="7"/>
  <c r="J44" i="7"/>
  <c r="K44" i="7"/>
  <c r="E45" i="7"/>
  <c r="I45" i="7"/>
  <c r="J45" i="7"/>
  <c r="K45" i="7"/>
  <c r="E46" i="7"/>
  <c r="I46" i="7"/>
  <c r="J46" i="7"/>
  <c r="K46" i="7"/>
  <c r="E47" i="7"/>
  <c r="I47" i="7"/>
  <c r="J47" i="7"/>
  <c r="K47" i="7"/>
  <c r="E48" i="7"/>
  <c r="I48" i="7"/>
  <c r="J48" i="7"/>
  <c r="K48" i="7"/>
  <c r="E49" i="7"/>
  <c r="I49" i="7"/>
  <c r="J49" i="7"/>
  <c r="K49" i="7"/>
  <c r="E50" i="7"/>
  <c r="I50" i="7"/>
  <c r="J50" i="7"/>
  <c r="K50" i="7"/>
  <c r="E51" i="7"/>
  <c r="I51" i="7"/>
  <c r="J51" i="7"/>
  <c r="K51" i="7"/>
  <c r="E52" i="7"/>
  <c r="I52" i="7"/>
  <c r="J52" i="7"/>
  <c r="K52" i="7"/>
  <c r="C17" i="7"/>
  <c r="C20" i="7"/>
  <c r="C22" i="7"/>
  <c r="C25" i="7"/>
  <c r="C26" i="7"/>
  <c r="B54" i="7"/>
  <c r="C23" i="7"/>
  <c r="B53" i="7"/>
  <c r="B52" i="7"/>
  <c r="B49" i="7"/>
  <c r="B48" i="7"/>
  <c r="B47" i="7"/>
  <c r="F3" i="7"/>
  <c r="G3" i="7"/>
  <c r="H3" i="7"/>
  <c r="F4" i="7"/>
  <c r="G4" i="7"/>
  <c r="H4" i="7"/>
  <c r="F5" i="7"/>
  <c r="G5" i="7"/>
  <c r="H5" i="7"/>
  <c r="F6" i="7"/>
  <c r="G6" i="7"/>
  <c r="H6" i="7"/>
  <c r="F7" i="7"/>
  <c r="G7" i="7"/>
  <c r="H7" i="7"/>
  <c r="F8" i="7"/>
  <c r="G8" i="7"/>
  <c r="H8" i="7"/>
  <c r="F9" i="7"/>
  <c r="G9" i="7"/>
  <c r="H9" i="7"/>
  <c r="F10" i="7"/>
  <c r="G10" i="7"/>
  <c r="H10" i="7"/>
  <c r="F11" i="7"/>
  <c r="G11" i="7"/>
  <c r="H11" i="7"/>
  <c r="F12" i="7"/>
  <c r="G12" i="7"/>
  <c r="H12" i="7"/>
  <c r="F13" i="7"/>
  <c r="G13" i="7"/>
  <c r="H13" i="7"/>
  <c r="F14" i="7"/>
  <c r="G14" i="7"/>
  <c r="H14" i="7"/>
  <c r="F15" i="7"/>
  <c r="G15" i="7"/>
  <c r="H15" i="7"/>
  <c r="F16" i="7"/>
  <c r="G16" i="7"/>
  <c r="H16" i="7"/>
  <c r="F17" i="7"/>
  <c r="G17" i="7"/>
  <c r="H17" i="7"/>
  <c r="F18" i="7"/>
  <c r="G18" i="7"/>
  <c r="H18" i="7"/>
  <c r="F19" i="7"/>
  <c r="G19" i="7"/>
  <c r="H19" i="7"/>
  <c r="F20" i="7"/>
  <c r="G20" i="7"/>
  <c r="H20" i="7"/>
  <c r="F21" i="7"/>
  <c r="G21" i="7"/>
  <c r="H21" i="7"/>
  <c r="F22" i="7"/>
  <c r="G22" i="7"/>
  <c r="H22" i="7"/>
  <c r="F23" i="7"/>
  <c r="G23" i="7"/>
  <c r="H23" i="7"/>
  <c r="F24" i="7"/>
  <c r="G24" i="7"/>
  <c r="H24" i="7"/>
  <c r="F25" i="7"/>
  <c r="G25" i="7"/>
  <c r="H25" i="7"/>
  <c r="F26" i="7"/>
  <c r="G26" i="7"/>
  <c r="H26" i="7"/>
  <c r="F27" i="7"/>
  <c r="G27" i="7"/>
  <c r="H27" i="7"/>
  <c r="F28" i="7"/>
  <c r="G28" i="7"/>
  <c r="H28" i="7"/>
  <c r="F29" i="7"/>
  <c r="G29" i="7"/>
  <c r="H29" i="7"/>
  <c r="F30" i="7"/>
  <c r="G30" i="7"/>
  <c r="H30" i="7"/>
  <c r="F31" i="7"/>
  <c r="G31" i="7"/>
  <c r="H31" i="7"/>
  <c r="F32" i="7"/>
  <c r="G32" i="7"/>
  <c r="H32" i="7"/>
  <c r="F33" i="7"/>
  <c r="G33" i="7"/>
  <c r="H33" i="7"/>
  <c r="F34" i="7"/>
  <c r="G34" i="7"/>
  <c r="H34" i="7"/>
  <c r="F35" i="7"/>
  <c r="G35" i="7"/>
  <c r="H35" i="7"/>
  <c r="F36" i="7"/>
  <c r="G36" i="7"/>
  <c r="H36" i="7"/>
  <c r="F37" i="7"/>
  <c r="G37" i="7"/>
  <c r="H37" i="7"/>
  <c r="F38" i="7"/>
  <c r="G38" i="7"/>
  <c r="H38" i="7"/>
  <c r="F39" i="7"/>
  <c r="G39" i="7"/>
  <c r="H39" i="7"/>
  <c r="F40" i="7"/>
  <c r="G40" i="7"/>
  <c r="H40" i="7"/>
  <c r="F41" i="7"/>
  <c r="G41" i="7"/>
  <c r="H41" i="7"/>
  <c r="F42" i="7"/>
  <c r="G42" i="7"/>
  <c r="H42" i="7"/>
  <c r="F43" i="7"/>
  <c r="G43" i="7"/>
  <c r="H43" i="7"/>
  <c r="F44" i="7"/>
  <c r="G44" i="7"/>
  <c r="H44" i="7"/>
  <c r="F45" i="7"/>
  <c r="G45" i="7"/>
  <c r="H45" i="7"/>
  <c r="F46" i="7"/>
  <c r="G46" i="7"/>
  <c r="H46" i="7"/>
  <c r="F47" i="7"/>
  <c r="G47" i="7"/>
  <c r="H47" i="7"/>
  <c r="F48" i="7"/>
  <c r="G48" i="7"/>
  <c r="H48" i="7"/>
  <c r="F49" i="7"/>
  <c r="G49" i="7"/>
  <c r="H49" i="7"/>
  <c r="F50" i="7"/>
  <c r="G50" i="7"/>
  <c r="H50" i="7"/>
  <c r="F51" i="7"/>
  <c r="G51" i="7"/>
  <c r="H51" i="7"/>
  <c r="F52" i="7"/>
  <c r="G52" i="7"/>
  <c r="H52" i="7"/>
  <c r="C16" i="7"/>
  <c r="B46" i="7"/>
  <c r="B5" i="4"/>
  <c r="B7" i="4"/>
  <c r="I4" i="7"/>
  <c r="I5" i="7"/>
  <c r="I6" i="7"/>
  <c r="I7" i="7"/>
  <c r="I8" i="7"/>
  <c r="I3" i="7"/>
  <c r="AB2" i="1"/>
  <c r="AE2" i="1"/>
  <c r="AA2" i="1"/>
  <c r="Z2" i="1"/>
  <c r="AD2" i="1"/>
  <c r="AC2" i="1"/>
  <c r="AC3" i="1"/>
  <c r="AC4" i="1"/>
  <c r="AC6" i="1"/>
  <c r="AC8" i="1"/>
  <c r="AC9" i="1"/>
  <c r="AC11" i="1"/>
  <c r="AC12" i="1"/>
  <c r="AC13" i="1"/>
  <c r="AC14" i="1"/>
  <c r="AC15" i="1"/>
  <c r="AC16" i="1"/>
  <c r="AC18" i="1"/>
  <c r="AC19" i="1"/>
  <c r="AC21" i="1"/>
  <c r="AC22" i="1"/>
  <c r="AC24" i="1"/>
  <c r="AC25" i="1"/>
  <c r="AC27" i="1"/>
  <c r="AC28" i="1"/>
  <c r="AC30" i="1"/>
  <c r="AC31" i="1"/>
  <c r="AC33" i="1"/>
  <c r="AC34" i="1"/>
  <c r="AC36" i="1"/>
  <c r="AC37" i="1"/>
  <c r="AC38" i="1"/>
  <c r="AC39" i="1"/>
  <c r="AC40" i="1"/>
  <c r="AC41" i="1"/>
  <c r="AC43" i="1"/>
  <c r="AC44" i="1"/>
  <c r="AC46" i="1"/>
  <c r="AC48" i="1"/>
  <c r="AC49" i="1"/>
  <c r="AC50" i="1"/>
  <c r="AC51" i="1"/>
  <c r="AB3" i="1"/>
  <c r="AE3" i="1"/>
  <c r="AB4" i="1"/>
  <c r="AE4" i="1"/>
  <c r="Z3" i="1"/>
  <c r="Z4" i="1"/>
  <c r="AD9" i="1"/>
  <c r="AD11" i="1"/>
  <c r="AD12" i="1"/>
  <c r="AD13" i="1"/>
  <c r="AD14" i="1"/>
  <c r="AD15" i="1"/>
  <c r="AD16" i="1"/>
  <c r="AD18" i="1"/>
  <c r="AD19" i="1"/>
  <c r="AD21" i="1"/>
  <c r="AD22" i="1"/>
  <c r="AD24" i="1"/>
  <c r="AD25" i="1"/>
  <c r="AD27" i="1"/>
  <c r="AD28" i="1"/>
  <c r="AD30" i="1"/>
  <c r="AD31" i="1"/>
  <c r="AD33" i="1"/>
  <c r="AD34" i="1"/>
  <c r="AD36" i="1"/>
  <c r="AD37" i="1"/>
  <c r="AD38" i="1"/>
  <c r="AD39" i="1"/>
  <c r="AD40" i="1"/>
  <c r="AD41" i="1"/>
  <c r="AD43" i="1"/>
  <c r="AD44" i="1"/>
  <c r="AD46" i="1"/>
  <c r="AD48" i="1"/>
  <c r="AD49" i="1"/>
  <c r="AD50" i="1"/>
  <c r="AD51" i="1"/>
  <c r="AA3" i="1"/>
  <c r="AD3" i="1"/>
  <c r="AA4" i="1"/>
  <c r="AD4" i="1"/>
  <c r="AD6" i="1"/>
  <c r="AD8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B5" i="6"/>
  <c r="B7" i="6"/>
  <c r="B5" i="5"/>
  <c r="B7" i="5"/>
  <c r="B5" i="3"/>
  <c r="B7" i="3"/>
</calcChain>
</file>

<file path=xl/sharedStrings.xml><?xml version="1.0" encoding="utf-8"?>
<sst xmlns="http://schemas.openxmlformats.org/spreadsheetml/2006/main" count="411" uniqueCount="267">
  <si>
    <t>s_cc</t>
    <phoneticPr fontId="3"/>
  </si>
  <si>
    <t>s_ck</t>
    <phoneticPr fontId="3"/>
  </si>
  <si>
    <t>s_sy</t>
    <phoneticPr fontId="3"/>
  </si>
  <si>
    <t>n</t>
    <phoneticPr fontId="3"/>
  </si>
  <si>
    <t>Es</t>
    <phoneticPr fontId="3"/>
  </si>
  <si>
    <t>横拘束鉄筋のヤング係数</t>
    <phoneticPr fontId="3"/>
  </si>
  <si>
    <t>E0</t>
    <phoneticPr fontId="3"/>
  </si>
  <si>
    <t>横拘束鉄筋の断面二次モーメント</t>
    <phoneticPr fontId="3"/>
  </si>
  <si>
    <t>Ih</t>
    <phoneticPr fontId="3"/>
  </si>
  <si>
    <t>N/mm^2</t>
    <phoneticPr fontId="3"/>
  </si>
  <si>
    <t>mm^4</t>
    <phoneticPr fontId="3"/>
  </si>
  <si>
    <t>横拘束鉄筋の有効長</t>
    <phoneticPr fontId="3"/>
  </si>
  <si>
    <t>d'</t>
    <phoneticPr fontId="3"/>
  </si>
  <si>
    <t>mm</t>
    <phoneticPr fontId="3"/>
  </si>
  <si>
    <t>圧縮側軸方向鉄筋の本数</t>
    <phoneticPr fontId="3"/>
  </si>
  <si>
    <t>ns</t>
    <phoneticPr fontId="3"/>
  </si>
  <si>
    <t>本</t>
    <rPh sb="0" eb="1">
      <t>ホン</t>
    </rPh>
    <phoneticPr fontId="3"/>
  </si>
  <si>
    <t>横拘束鉄筋の間隔</t>
    <phoneticPr fontId="3"/>
  </si>
  <si>
    <t>s</t>
    <phoneticPr fontId="3"/>
  </si>
  <si>
    <t>mm</t>
    <phoneticPr fontId="3"/>
  </si>
  <si>
    <t>横拘束鉄筋の抵抗を表すばね定数</t>
    <phoneticPr fontId="3"/>
  </si>
  <si>
    <t>beta_s</t>
    <phoneticPr fontId="3"/>
  </si>
  <si>
    <t>N/mm^2</t>
    <phoneticPr fontId="3"/>
  </si>
  <si>
    <t>軸方向鉄筋の最外面からコンクリートの表面までの距離</t>
    <phoneticPr fontId="3"/>
  </si>
  <si>
    <t>c0</t>
    <phoneticPr fontId="3"/>
  </si>
  <si>
    <t>かぶりコンクリートの抵抗を表すばね定数</t>
    <phoneticPr fontId="3"/>
  </si>
  <si>
    <t>beta_c0</t>
    <phoneticPr fontId="3"/>
  </si>
  <si>
    <t>N/mm^2</t>
    <phoneticPr fontId="3"/>
  </si>
  <si>
    <t>軸方向鉄筋のはらみ出しに対する抵抗を表すばね定数</t>
    <phoneticPr fontId="3"/>
  </si>
  <si>
    <t>beta_n</t>
    <phoneticPr fontId="3"/>
  </si>
  <si>
    <t>fai'</t>
    <phoneticPr fontId="3"/>
  </si>
  <si>
    <t>h</t>
    <phoneticPr fontId="3"/>
  </si>
  <si>
    <t>0.15h</t>
    <phoneticPr fontId="3"/>
  </si>
  <si>
    <t>塑性ヒンジ長</t>
    <phoneticPr fontId="3"/>
  </si>
  <si>
    <t>Lp</t>
    <phoneticPr fontId="3"/>
  </si>
  <si>
    <t>軸方向鉄筋の降伏点</t>
    <phoneticPr fontId="3"/>
  </si>
  <si>
    <t>軸方向鉄筋の直径</t>
    <phoneticPr fontId="3"/>
  </si>
  <si>
    <t>橋脚基部から上部構造の慣性力の作用位置までの距離</t>
    <phoneticPr fontId="3"/>
  </si>
  <si>
    <t>Lpの制限値</t>
    <rPh sb="3" eb="6">
      <t>セイゲンチ</t>
    </rPh>
    <phoneticPr fontId="3"/>
  </si>
  <si>
    <t>fai</t>
    <phoneticPr fontId="3"/>
  </si>
  <si>
    <t>mm</t>
    <phoneticPr fontId="3"/>
  </si>
  <si>
    <t>軸方向鉄筋の直径（40mm以上は40）</t>
    <rPh sb="13" eb="15">
      <t>イジョウ</t>
    </rPh>
    <phoneticPr fontId="3"/>
  </si>
  <si>
    <t>e_st2</t>
    <phoneticPr fontId="3"/>
  </si>
  <si>
    <t>e_st3</t>
    <phoneticPr fontId="3"/>
  </si>
  <si>
    <t>横拘束鉄筋１本あたりの断面積</t>
    <phoneticPr fontId="3"/>
  </si>
  <si>
    <t>Ah</t>
    <phoneticPr fontId="3"/>
  </si>
  <si>
    <t>mm^2</t>
    <phoneticPr fontId="3"/>
  </si>
  <si>
    <t>d</t>
    <phoneticPr fontId="3"/>
  </si>
  <si>
    <t>横拘束鉄筋の体積比</t>
    <phoneticPr fontId="3"/>
  </si>
  <si>
    <t>rho_s</t>
    <phoneticPr fontId="3"/>
  </si>
  <si>
    <t>&lt;=0.018</t>
    <phoneticPr fontId="3"/>
  </si>
  <si>
    <t>beta</t>
    <phoneticPr fontId="3"/>
  </si>
  <si>
    <t>横拘束鉄筋の降伏点（上限345）</t>
    <phoneticPr fontId="3"/>
  </si>
  <si>
    <t>s_sy</t>
    <phoneticPr fontId="3"/>
  </si>
  <si>
    <t>N/mm^2</t>
    <phoneticPr fontId="3"/>
  </si>
  <si>
    <t>コンクリートの設計基準強度</t>
    <phoneticPr fontId="3"/>
  </si>
  <si>
    <t>コンクリートの最大圧縮応力度に達するときのひずみ</t>
    <phoneticPr fontId="3"/>
  </si>
  <si>
    <t>e_cc</t>
    <phoneticPr fontId="3"/>
  </si>
  <si>
    <t>alpha</t>
    <phoneticPr fontId="3"/>
  </si>
  <si>
    <t>コンクリートの最大圧縮応力度</t>
    <phoneticPr fontId="3"/>
  </si>
  <si>
    <t>応力度-ひずみ曲線の下降勾配</t>
    <phoneticPr fontId="3"/>
  </si>
  <si>
    <t>E_des</t>
    <phoneticPr fontId="3"/>
  </si>
  <si>
    <t>コンクリートの限界圧縮ひずみ</t>
    <phoneticPr fontId="3"/>
  </si>
  <si>
    <t>e_ccl</t>
    <phoneticPr fontId="3"/>
  </si>
  <si>
    <t>幅</t>
    <rPh sb="0" eb="1">
      <t>ハバ</t>
    </rPh>
    <phoneticPr fontId="3"/>
  </si>
  <si>
    <t>高さ</t>
    <rPh sb="0" eb="1">
      <t>タカ</t>
    </rPh>
    <phoneticPr fontId="3"/>
  </si>
  <si>
    <t>Ec</t>
    <phoneticPr fontId="3"/>
  </si>
  <si>
    <t>コンクリートのヤング係数</t>
    <rPh sb="10" eb="12">
      <t>ケイスウ</t>
    </rPh>
    <phoneticPr fontId="3"/>
  </si>
  <si>
    <t>係数</t>
    <rPh sb="0" eb="2">
      <t>ケイスウ</t>
    </rPh>
    <phoneticPr fontId="3"/>
  </si>
  <si>
    <t>軸方向鉄筋のヤング率</t>
    <rPh sb="0" eb="3">
      <t>ジクホウコウ</t>
    </rPh>
    <rPh sb="3" eb="5">
      <t>テッキン</t>
    </rPh>
    <rPh sb="9" eb="10">
      <t>リツ</t>
    </rPh>
    <phoneticPr fontId="3"/>
  </si>
  <si>
    <t>軸方向鉄筋の降伏ひずみ</t>
    <rPh sb="0" eb="3">
      <t>ジクホウコウ</t>
    </rPh>
    <rPh sb="3" eb="5">
      <t>テッキン</t>
    </rPh>
    <rPh sb="6" eb="8">
      <t>コウフク</t>
    </rPh>
    <phoneticPr fontId="3"/>
  </si>
  <si>
    <t>e_sy</t>
    <phoneticPr fontId="3"/>
  </si>
  <si>
    <t>軸方向鉄筋位置z0</t>
    <rPh sb="0" eb="1">
      <t>ジク</t>
    </rPh>
    <rPh sb="1" eb="3">
      <t>ホウコウ</t>
    </rPh>
    <rPh sb="3" eb="5">
      <t>テッキン</t>
    </rPh>
    <rPh sb="5" eb="7">
      <t>イチ</t>
    </rPh>
    <phoneticPr fontId="3"/>
  </si>
  <si>
    <t>軸力目標</t>
    <rPh sb="0" eb="1">
      <t>ジク</t>
    </rPh>
    <rPh sb="1" eb="2">
      <t>リョク</t>
    </rPh>
    <rPh sb="2" eb="4">
      <t>モクヒョウ</t>
    </rPh>
    <phoneticPr fontId="3"/>
  </si>
  <si>
    <t>上部構造重量</t>
    <rPh sb="0" eb="2">
      <t>ジョウブ</t>
    </rPh>
    <rPh sb="2" eb="4">
      <t>コウゾウ</t>
    </rPh>
    <rPh sb="4" eb="6">
      <t>ジュウリョウ</t>
    </rPh>
    <phoneticPr fontId="3"/>
  </si>
  <si>
    <t>kN</t>
    <phoneticPr fontId="3"/>
  </si>
  <si>
    <t>1/mm</t>
    <phoneticPr fontId="3"/>
  </si>
  <si>
    <t>kN</t>
    <phoneticPr fontId="3"/>
  </si>
  <si>
    <t>M</t>
    <phoneticPr fontId="3"/>
  </si>
  <si>
    <t>曲げ引張強度</t>
    <rPh sb="0" eb="1">
      <t>マ</t>
    </rPh>
    <rPh sb="2" eb="3">
      <t>ヒ</t>
    </rPh>
    <rPh sb="3" eb="4">
      <t>パ</t>
    </rPh>
    <rPh sb="4" eb="6">
      <t>キョウド</t>
    </rPh>
    <phoneticPr fontId="3"/>
  </si>
  <si>
    <t>s_bt</t>
    <phoneticPr fontId="3"/>
  </si>
  <si>
    <t>N/mm^2</t>
    <phoneticPr fontId="3"/>
  </si>
  <si>
    <t>軸力差（ここを0に）</t>
    <rPh sb="0" eb="1">
      <t>ジク</t>
    </rPh>
    <rPh sb="1" eb="2">
      <t>リョク</t>
    </rPh>
    <rPh sb="2" eb="3">
      <t>サ</t>
    </rPh>
    <phoneticPr fontId="3"/>
  </si>
  <si>
    <t>上からファイバー中心までの距離z</t>
    <rPh sb="0" eb="1">
      <t>ウエ</t>
    </rPh>
    <rPh sb="8" eb="10">
      <t>チュウシン</t>
    </rPh>
    <rPh sb="13" eb="15">
      <t>キョリ</t>
    </rPh>
    <phoneticPr fontId="3"/>
  </si>
  <si>
    <t>鉄筋面積As</t>
    <rPh sb="0" eb="2">
      <t>テッキンメンセツ</t>
    </rPh>
    <rPh sb="2" eb="4">
      <t>メンセキ</t>
    </rPh>
    <phoneticPr fontId="3"/>
  </si>
  <si>
    <t>コンクリート面積Ac</t>
    <rPh sb="6" eb="8">
      <t>メンセキ</t>
    </rPh>
    <phoneticPr fontId="3"/>
  </si>
  <si>
    <t>ひずみe</t>
    <phoneticPr fontId="3"/>
  </si>
  <si>
    <t>コンクリート応力s_c</t>
    <rPh sb="6" eb="8">
      <t>オウリョク</t>
    </rPh>
    <phoneticPr fontId="3"/>
  </si>
  <si>
    <t>コンクリート力P_c</t>
    <rPh sb="6" eb="7">
      <t>チカラ</t>
    </rPh>
    <phoneticPr fontId="3"/>
  </si>
  <si>
    <t>準備</t>
  </si>
  <si>
    <t>目標値を　　　　0</t>
  </si>
  <si>
    <t>OKとすると収束計算開始</t>
  </si>
  <si>
    <t>B</t>
    <phoneticPr fontId="3"/>
  </si>
  <si>
    <t>H</t>
    <phoneticPr fontId="3"/>
  </si>
  <si>
    <t>橋脚断面</t>
    <rPh sb="0" eb="2">
      <t>キョウキャク</t>
    </rPh>
    <rPh sb="2" eb="4">
      <t>ダンメン</t>
    </rPh>
    <phoneticPr fontId="3"/>
  </si>
  <si>
    <t>呼び径</t>
  </si>
  <si>
    <t>D6</t>
  </si>
  <si>
    <t>D10</t>
    <phoneticPr fontId="3"/>
  </si>
  <si>
    <t>D13</t>
  </si>
  <si>
    <t>D16</t>
  </si>
  <si>
    <t>D19</t>
  </si>
  <si>
    <t>D22</t>
  </si>
  <si>
    <t>D25</t>
  </si>
  <si>
    <t>D29</t>
  </si>
  <si>
    <t>D32</t>
  </si>
  <si>
    <t>D35</t>
  </si>
  <si>
    <t>D38</t>
  </si>
  <si>
    <t>D41</t>
  </si>
  <si>
    <t>D51</t>
    <phoneticPr fontId="3"/>
  </si>
  <si>
    <t>公称断面積(mm^2)</t>
    <rPh sb="0" eb="2">
      <t>コウショウ</t>
    </rPh>
    <rPh sb="2" eb="5">
      <t>ダンメンセキ</t>
    </rPh>
    <phoneticPr fontId="3"/>
  </si>
  <si>
    <t>鉄筋降伏ひずみ</t>
    <rPh sb="0" eb="2">
      <t>テッキン</t>
    </rPh>
    <rPh sb="2" eb="4">
      <t>コウフク</t>
    </rPh>
    <phoneticPr fontId="3"/>
  </si>
  <si>
    <t>降伏時の計算</t>
    <rPh sb="0" eb="2">
      <t>コウフク</t>
    </rPh>
    <rPh sb="2" eb="3">
      <t>トキ</t>
    </rPh>
    <rPh sb="4" eb="6">
      <t>ケイサン</t>
    </rPh>
    <phoneticPr fontId="3"/>
  </si>
  <si>
    <t>鉄筋終局ひずみ2</t>
    <rPh sb="0" eb="2">
      <t>テッキン</t>
    </rPh>
    <rPh sb="2" eb="4">
      <t>シュウキョク</t>
    </rPh>
    <phoneticPr fontId="3"/>
  </si>
  <si>
    <t>耐震性能2の計算</t>
    <rPh sb="6" eb="8">
      <t>ケイサン</t>
    </rPh>
    <phoneticPr fontId="3"/>
  </si>
  <si>
    <t>耐震性能2の軸方向鉄筋の許容引張ひずみ</t>
    <phoneticPr fontId="3"/>
  </si>
  <si>
    <t>耐震性能3の軸方向鉄筋の許容引張ひずみ</t>
    <phoneticPr fontId="3"/>
  </si>
  <si>
    <t>耐震性能3の計算　その1</t>
    <rPh sb="6" eb="8">
      <t>ケイサン</t>
    </rPh>
    <phoneticPr fontId="3"/>
  </si>
  <si>
    <t>耐震性能3の計算　その2</t>
    <rPh sb="6" eb="8">
      <t>ケイサン</t>
    </rPh>
    <phoneticPr fontId="3"/>
  </si>
  <si>
    <t>mm</t>
    <phoneticPr fontId="3"/>
  </si>
  <si>
    <t>上からファイバー下端までの距離</t>
    <rPh sb="0" eb="1">
      <t>ウエ</t>
    </rPh>
    <rPh sb="8" eb="9">
      <t>シタ</t>
    </rPh>
    <rPh sb="9" eb="10">
      <t>ハシ</t>
    </rPh>
    <rPh sb="13" eb="15">
      <t>キョリ</t>
    </rPh>
    <phoneticPr fontId="3"/>
  </si>
  <si>
    <t>最上部の軸方向鉄筋位置</t>
    <rPh sb="0" eb="3">
      <t>サイジョウブ</t>
    </rPh>
    <rPh sb="4" eb="7">
      <t>ジクホウコウ</t>
    </rPh>
    <rPh sb="7" eb="9">
      <t>テッキン</t>
    </rPh>
    <rPh sb="9" eb="11">
      <t>イチ</t>
    </rPh>
    <phoneticPr fontId="3"/>
  </si>
  <si>
    <t>z0</t>
    <phoneticPr fontId="3"/>
  </si>
  <si>
    <t>数式入力セルを　B7</t>
    <phoneticPr fontId="3"/>
  </si>
  <si>
    <t>変化させるセル　B15</t>
    <phoneticPr fontId="3"/>
  </si>
  <si>
    <t>答は，B15セルとB16セル</t>
    <rPh sb="0" eb="1">
      <t>コタエ</t>
    </rPh>
    <phoneticPr fontId="3"/>
  </si>
  <si>
    <r>
      <rPr>
        <sz val="11"/>
        <color theme="0" tint="-0.14999847407452621"/>
        <rFont val="ＭＳ Ｐゴシック"/>
        <family val="2"/>
        <charset val="128"/>
        <scheme val="minor"/>
      </rPr>
      <t>軸力</t>
    </r>
    <r>
      <rPr>
        <sz val="11"/>
        <color theme="0" tint="-0.14999847407452621"/>
        <rFont val="ＭＳ Ｐゴシック"/>
        <family val="2"/>
        <charset val="128"/>
        <scheme val="minor"/>
      </rPr>
      <t>N</t>
    </r>
    <rPh sb="0" eb="2">
      <t>ジクリョク</t>
    </rPh>
    <phoneticPr fontId="3"/>
  </si>
  <si>
    <t>コンクリート終局ひずみ2</t>
    <rPh sb="6" eb="8">
      <t>シュウキョク</t>
    </rPh>
    <phoneticPr fontId="3"/>
  </si>
  <si>
    <t>ファイバー要素高さ</t>
    <rPh sb="5" eb="7">
      <t>ヨウソ</t>
    </rPh>
    <rPh sb="7" eb="8">
      <t>タカ</t>
    </rPh>
    <phoneticPr fontId="3"/>
  </si>
  <si>
    <t>↑ゴールシークを選び，</t>
    <rPh sb="8" eb="9">
      <t>エラ</t>
    </rPh>
    <phoneticPr fontId="3"/>
  </si>
  <si>
    <t>各シートでゴール・シークを実施</t>
    <rPh sb="0" eb="1">
      <t>カク</t>
    </rPh>
    <rPh sb="13" eb="15">
      <t>ジッシ</t>
    </rPh>
    <phoneticPr fontId="3"/>
  </si>
  <si>
    <t>ver.1.0</t>
    <phoneticPr fontId="3"/>
  </si>
  <si>
    <t>作成者</t>
  </si>
  <si>
    <t>伊津野 和行</t>
  </si>
  <si>
    <t>連絡先</t>
  </si>
  <si>
    <t>izuno@se.ritsumei.ac.jp</t>
  </si>
  <si>
    <t>〒525-8577　草津市野路東1-1-1</t>
  </si>
  <si>
    <t>矩形0.4</t>
    <rPh sb="0" eb="2">
      <t>クケイ</t>
    </rPh>
    <phoneticPr fontId="3"/>
  </si>
  <si>
    <t>矩形0.2</t>
    <rPh sb="0" eb="2">
      <t>クケイ</t>
    </rPh>
    <phoneticPr fontId="3"/>
  </si>
  <si>
    <t>断面補正係数</t>
    <phoneticPr fontId="3"/>
  </si>
  <si>
    <t>矩形鉄筋コンクリート断面の曲げモーメント－曲率関係</t>
    <rPh sb="0" eb="2">
      <t>クケイ</t>
    </rPh>
    <rPh sb="2" eb="4">
      <t>テッキン</t>
    </rPh>
    <rPh sb="10" eb="12">
      <t>ダンメン</t>
    </rPh>
    <rPh sb="13" eb="14">
      <t>マ</t>
    </rPh>
    <rPh sb="21" eb="23">
      <t>キョクリツ</t>
    </rPh>
    <rPh sb="23" eb="25">
      <t>カンケイ</t>
    </rPh>
    <phoneticPr fontId="3"/>
  </si>
  <si>
    <t>鉄筋種類</t>
    <rPh sb="0" eb="2">
      <t>テッキン</t>
    </rPh>
    <rPh sb="2" eb="4">
      <t>シュルイ</t>
    </rPh>
    <phoneticPr fontId="3"/>
  </si>
  <si>
    <t>鉄筋半径</t>
    <rPh sb="0" eb="2">
      <t>テッキン</t>
    </rPh>
    <rPh sb="2" eb="4">
      <t>ハンケイ</t>
    </rPh>
    <phoneticPr fontId="3"/>
  </si>
  <si>
    <t>鉄筋上端</t>
    <rPh sb="0" eb="2">
      <t>テッキン</t>
    </rPh>
    <rPh sb="2" eb="3">
      <t>ウエ</t>
    </rPh>
    <rPh sb="3" eb="4">
      <t>ハシ</t>
    </rPh>
    <phoneticPr fontId="3"/>
  </si>
  <si>
    <t>鉄筋下端</t>
    <rPh sb="0" eb="2">
      <t>テッキン</t>
    </rPh>
    <rPh sb="2" eb="3">
      <t>シタ</t>
    </rPh>
    <rPh sb="3" eb="4">
      <t>エンタン</t>
    </rPh>
    <phoneticPr fontId="3"/>
  </si>
  <si>
    <t>本数</t>
    <rPh sb="0" eb="2">
      <t>ホンスウ</t>
    </rPh>
    <phoneticPr fontId="3"/>
  </si>
  <si>
    <t>面積</t>
    <rPh sb="0" eb="2">
      <t>メンセキ</t>
    </rPh>
    <phoneticPr fontId="3"/>
  </si>
  <si>
    <t>累積面積</t>
    <rPh sb="0" eb="2">
      <t>ルイセキ</t>
    </rPh>
    <rPh sb="2" eb="4">
      <t>メンセキ</t>
    </rPh>
    <phoneticPr fontId="3"/>
  </si>
  <si>
    <t>半径（コピー）</t>
    <rPh sb="0" eb="2">
      <t>ハンケイ</t>
    </rPh>
    <phoneticPr fontId="3"/>
  </si>
  <si>
    <t>鉄筋断面積表</t>
    <rPh sb="0" eb="2">
      <t>テッキン</t>
    </rPh>
    <rPh sb="2" eb="5">
      <t>ダンメンセキ</t>
    </rPh>
    <rPh sb="5" eb="6">
      <t>ヒョウ</t>
    </rPh>
    <phoneticPr fontId="3"/>
  </si>
  <si>
    <t>公称直径</t>
    <rPh sb="0" eb="2">
      <t>コウショウ</t>
    </rPh>
    <phoneticPr fontId="3"/>
  </si>
  <si>
    <t>上からファイバー上端までの距離</t>
    <rPh sb="0" eb="1">
      <t>ウエ</t>
    </rPh>
    <rPh sb="8" eb="9">
      <t>ウエ</t>
    </rPh>
    <rPh sb="9" eb="10">
      <t>ハシ</t>
    </rPh>
    <rPh sb="13" eb="15">
      <t>キョリ</t>
    </rPh>
    <phoneticPr fontId="3"/>
  </si>
  <si>
    <t>t/f</t>
    <phoneticPr fontId="3"/>
  </si>
  <si>
    <t>半径r</t>
    <rPh sb="0" eb="2">
      <t>ハンケイ</t>
    </rPh>
    <phoneticPr fontId="3"/>
  </si>
  <si>
    <t>u</t>
    <phoneticPr fontId="3"/>
  </si>
  <si>
    <t>d</t>
    <phoneticPr fontId="3"/>
  </si>
  <si>
    <t>距離a</t>
    <rPh sb="0" eb="2">
      <t>キョリ</t>
    </rPh>
    <phoneticPr fontId="3"/>
  </si>
  <si>
    <t>補正値</t>
    <rPh sb="0" eb="3">
      <t>ホセイチ</t>
    </rPh>
    <phoneticPr fontId="3"/>
  </si>
  <si>
    <t>N*mm</t>
    <phoneticPr fontId="3"/>
  </si>
  <si>
    <t>N*mm</t>
    <phoneticPr fontId="3"/>
  </si>
  <si>
    <t>↓faiの初期値を 1e-5 に</t>
    <rPh sb="5" eb="8">
      <t>ショキチ</t>
    </rPh>
    <phoneticPr fontId="3"/>
  </si>
  <si>
    <t>↓faiの初期値を 1e-6 に</t>
    <rPh sb="5" eb="8">
      <t>ショキチ</t>
    </rPh>
    <phoneticPr fontId="3"/>
  </si>
  <si>
    <t>J列，K列，O列の軸方向鉄筋情報を入力</t>
    <rPh sb="4" eb="5">
      <t>レツ</t>
    </rPh>
    <rPh sb="7" eb="8">
      <t>レツ</t>
    </rPh>
    <rPh sb="9" eb="12">
      <t>ジクホウコウ</t>
    </rPh>
    <rPh sb="14" eb="16">
      <t>ジョウホウ</t>
    </rPh>
    <phoneticPr fontId="3"/>
  </si>
  <si>
    <t>2013.3.17</t>
    <phoneticPr fontId="3"/>
  </si>
  <si>
    <t>換算断面係数</t>
    <rPh sb="0" eb="2">
      <t>カンサン</t>
    </rPh>
    <rPh sb="2" eb="6">
      <t>ダンメンケイスウ</t>
    </rPh>
    <phoneticPr fontId="3"/>
  </si>
  <si>
    <t>mm^3</t>
    <phoneticPr fontId="3"/>
  </si>
  <si>
    <t>Z</t>
    <phoneticPr fontId="3"/>
  </si>
  <si>
    <t>Mc</t>
    <phoneticPr fontId="3"/>
  </si>
  <si>
    <t>N.mm</t>
    <phoneticPr fontId="3"/>
  </si>
  <si>
    <t>ひび割れ曲率</t>
    <rPh sb="2" eb="3">
      <t>ワ</t>
    </rPh>
    <rPh sb="4" eb="6">
      <t>キョクリツ</t>
    </rPh>
    <phoneticPr fontId="3"/>
  </si>
  <si>
    <t>ひび割れ曲げモーメント</t>
    <rPh sb="2" eb="3">
      <t>ワ</t>
    </rPh>
    <rPh sb="4" eb="5">
      <t>マ</t>
    </rPh>
    <phoneticPr fontId="3"/>
  </si>
  <si>
    <t>fai_c</t>
    <phoneticPr fontId="3"/>
  </si>
  <si>
    <t>1/mm</t>
    <phoneticPr fontId="3"/>
  </si>
  <si>
    <t>換算断面二次モーメント</t>
    <rPh sb="0" eb="2">
      <t>カンサン</t>
    </rPh>
    <rPh sb="2" eb="11">
      <t>ダンメンニジモー</t>
    </rPh>
    <phoneticPr fontId="3"/>
  </si>
  <si>
    <t>ヤング係数比</t>
    <rPh sb="3" eb="5">
      <t>ケイスウ</t>
    </rPh>
    <rPh sb="5" eb="6">
      <t>ヒリツ</t>
    </rPh>
    <phoneticPr fontId="3"/>
  </si>
  <si>
    <t>初降伏・耐震性能2・耐震性能3</t>
    <rPh sb="0" eb="3">
      <t>ショコウフク</t>
    </rPh>
    <rPh sb="4" eb="8">
      <t>タイシンセイノウ</t>
    </rPh>
    <rPh sb="10" eb="14">
      <t>タイシンセイノウ</t>
    </rPh>
    <phoneticPr fontId="3"/>
  </si>
  <si>
    <t>k1</t>
    <phoneticPr fontId="3"/>
  </si>
  <si>
    <t>k2</t>
    <phoneticPr fontId="3"/>
  </si>
  <si>
    <t>Pc</t>
    <phoneticPr fontId="3"/>
  </si>
  <si>
    <t>Py0</t>
    <phoneticPr fontId="3"/>
  </si>
  <si>
    <t>M_c</t>
    <phoneticPr fontId="3"/>
  </si>
  <si>
    <t>c_limit</t>
    <phoneticPr fontId="3"/>
  </si>
  <si>
    <t>fai_y</t>
    <phoneticPr fontId="3"/>
  </si>
  <si>
    <t>M_y</t>
    <phoneticPr fontId="3"/>
  </si>
  <si>
    <t>d_c</t>
    <phoneticPr fontId="3"/>
  </si>
  <si>
    <t>d_y</t>
    <phoneticPr fontId="3"/>
  </si>
  <si>
    <t>d_y0</t>
    <phoneticPr fontId="3"/>
  </si>
  <si>
    <t>dy</t>
    <phoneticPr fontId="3"/>
  </si>
  <si>
    <t>Py=Pu</t>
    <phoneticPr fontId="3"/>
  </si>
  <si>
    <t>d_ls2</t>
    <phoneticPr fontId="3"/>
  </si>
  <si>
    <r>
      <t>fai</t>
    </r>
    <r>
      <rPr>
        <sz val="11"/>
        <color rgb="FFFF0000"/>
        <rFont val="ＭＳ Ｐゴシック"/>
        <family val="2"/>
        <charset val="128"/>
        <scheme val="minor"/>
      </rPr>
      <t>_y0</t>
    </r>
    <phoneticPr fontId="3"/>
  </si>
  <si>
    <r>
      <t>M</t>
    </r>
    <r>
      <rPr>
        <sz val="11"/>
        <color rgb="FFFF0000"/>
        <rFont val="ＭＳ Ｐゴシック"/>
        <family val="2"/>
        <charset val="128"/>
        <scheme val="minor"/>
      </rPr>
      <t>_y0</t>
    </r>
    <phoneticPr fontId="3"/>
  </si>
  <si>
    <r>
      <t>fai</t>
    </r>
    <r>
      <rPr>
        <sz val="11"/>
        <color rgb="FFFF0000"/>
        <rFont val="ＭＳ Ｐゴシック"/>
        <family val="2"/>
        <charset val="128"/>
        <scheme val="minor"/>
      </rPr>
      <t>_ls2</t>
    </r>
    <phoneticPr fontId="3"/>
  </si>
  <si>
    <r>
      <t>M</t>
    </r>
    <r>
      <rPr>
        <sz val="11"/>
        <color rgb="FFFF0000"/>
        <rFont val="ＭＳ Ｐゴシック"/>
        <family val="2"/>
        <charset val="128"/>
        <scheme val="minor"/>
      </rPr>
      <t>_ls2</t>
    </r>
    <phoneticPr fontId="3"/>
  </si>
  <si>
    <t>fai_ls3</t>
    <phoneticPr fontId="3"/>
  </si>
  <si>
    <t>d_ls3</t>
    <phoneticPr fontId="3"/>
  </si>
  <si>
    <t>fai_y</t>
    <phoneticPr fontId="3"/>
  </si>
  <si>
    <t>ひび割れ水平耐力</t>
    <rPh sb="2" eb="3">
      <t>ワ</t>
    </rPh>
    <rPh sb="4" eb="8">
      <t>スイヘイタイリョク</t>
    </rPh>
    <phoneticPr fontId="3"/>
  </si>
  <si>
    <t>N</t>
    <phoneticPr fontId="3"/>
  </si>
  <si>
    <t>初降伏水平耐力</t>
    <rPh sb="0" eb="3">
      <t>ショコウフク</t>
    </rPh>
    <rPh sb="3" eb="7">
      <t>スイヘイタイリョク</t>
    </rPh>
    <phoneticPr fontId="3"/>
  </si>
  <si>
    <t>ひび割れ変位</t>
    <rPh sb="2" eb="3">
      <t>ワ</t>
    </rPh>
    <rPh sb="4" eb="6">
      <t>ヘンイ</t>
    </rPh>
    <phoneticPr fontId="3"/>
  </si>
  <si>
    <t>初降伏変位</t>
    <rPh sb="0" eb="5">
      <t>ショコウフクヘンイ</t>
    </rPh>
    <phoneticPr fontId="3"/>
  </si>
  <si>
    <t>終局水平耐力</t>
    <rPh sb="0" eb="6">
      <t>シュウキョクスイヘイタイリョク</t>
    </rPh>
    <phoneticPr fontId="3"/>
  </si>
  <si>
    <t>降伏変位</t>
    <rPh sb="0" eb="4">
      <t>コウフクヘンイ</t>
    </rPh>
    <phoneticPr fontId="3"/>
  </si>
  <si>
    <t>耐震性能2の限界状態に相当する変位</t>
    <rPh sb="0" eb="4">
      <t>タイシンセイノウ</t>
    </rPh>
    <rPh sb="6" eb="10">
      <t>ゲンカイジョウタイ</t>
    </rPh>
    <rPh sb="11" eb="13">
      <t>ソウトウ</t>
    </rPh>
    <rPh sb="15" eb="17">
      <t>ヘンイ</t>
    </rPh>
    <phoneticPr fontId="3"/>
  </si>
  <si>
    <t>耐震性能3の限界状態に相当する変位</t>
    <rPh sb="0" eb="4">
      <t>タイシンセイノウ</t>
    </rPh>
    <rPh sb="6" eb="10">
      <t>ゲンカイジョウタイ</t>
    </rPh>
    <rPh sb="11" eb="13">
      <t>ソウトウ</t>
    </rPh>
    <rPh sb="15" eb="17">
      <t>ヘンイ</t>
    </rPh>
    <phoneticPr fontId="3"/>
  </si>
  <si>
    <t>（降伏曲率）</t>
    <rPh sb="1" eb="3">
      <t>コウフク</t>
    </rPh>
    <rPh sb="3" eb="5">
      <t>キョクリツ</t>
    </rPh>
    <phoneticPr fontId="3"/>
  </si>
  <si>
    <t>（耐震性能3の限界状態に相当する曲率）</t>
    <rPh sb="1" eb="5">
      <t>タイシンセイノウ</t>
    </rPh>
    <rPh sb="7" eb="11">
      <t>ゲンカイジョウタイ</t>
    </rPh>
    <rPh sb="12" eb="14">
      <t>ソウトウ</t>
    </rPh>
    <rPh sb="16" eb="18">
      <t>キョクリツ</t>
    </rPh>
    <phoneticPr fontId="3"/>
  </si>
  <si>
    <t>（初降伏時のひび割れ限界高さ）</t>
    <rPh sb="1" eb="5">
      <t>ショコウフクジ</t>
    </rPh>
    <rPh sb="8" eb="9">
      <t>ワ</t>
    </rPh>
    <rPh sb="10" eb="12">
      <t>ゲンカイ</t>
    </rPh>
    <rPh sb="12" eb="13">
      <t>タカ</t>
    </rPh>
    <phoneticPr fontId="3"/>
  </si>
  <si>
    <t>（M-faiの初期剛性）</t>
    <rPh sb="7" eb="11">
      <t>ショキゴウセイ</t>
    </rPh>
    <phoneticPr fontId="3"/>
  </si>
  <si>
    <t>（M-faiの二次剛性）</t>
    <rPh sb="7" eb="8">
      <t>ニ</t>
    </rPh>
    <rPh sb="8" eb="11">
      <t>ジゴウセイ</t>
    </rPh>
    <phoneticPr fontId="3"/>
  </si>
  <si>
    <t>D列の赤字の部分を入力</t>
    <phoneticPr fontId="3"/>
  </si>
  <si>
    <t>M-faiの結果一覧</t>
    <rPh sb="6" eb="8">
      <t>ケッカ</t>
    </rPh>
    <rPh sb="8" eb="10">
      <t>イチラン</t>
    </rPh>
    <phoneticPr fontId="3"/>
  </si>
  <si>
    <t>ひび割れ</t>
    <rPh sb="2" eb="3">
      <t>ワ</t>
    </rPh>
    <phoneticPr fontId="3"/>
  </si>
  <si>
    <t>初降伏</t>
    <rPh sb="0" eb="3">
      <t>ショコウフク</t>
    </rPh>
    <phoneticPr fontId="3"/>
  </si>
  <si>
    <t>耐震性能2の限界状態</t>
    <rPh sb="0" eb="4">
      <t>タイシンセイノウ</t>
    </rPh>
    <rPh sb="6" eb="10">
      <t>ゲンカイジョウタイ</t>
    </rPh>
    <phoneticPr fontId="3"/>
  </si>
  <si>
    <t>耐震性能3の限界状態</t>
    <rPh sb="0" eb="4">
      <t>タイシンセイノウ</t>
    </rPh>
    <rPh sb="6" eb="10">
      <t>ゲンカイジョウタイ</t>
    </rPh>
    <phoneticPr fontId="3"/>
  </si>
  <si>
    <t>曲率(1/mm)</t>
    <rPh sb="0" eb="2">
      <t>キョクリツ</t>
    </rPh>
    <phoneticPr fontId="3"/>
  </si>
  <si>
    <t>曲げモーメント(N.mm)</t>
    <rPh sb="0" eb="1">
      <t>マ</t>
    </rPh>
    <phoneticPr fontId="3"/>
  </si>
  <si>
    <t>降伏</t>
    <rPh sb="0" eb="2">
      <t>コウフク</t>
    </rPh>
    <phoneticPr fontId="3"/>
  </si>
  <si>
    <t>OKとすると収束計算開始．</t>
    <phoneticPr fontId="3"/>
  </si>
  <si>
    <t>収束しない場合，曲率faiの初期値を1e-7や1e-5に変更してやり直す．</t>
    <rPh sb="0" eb="2">
      <t>シュウソク</t>
    </rPh>
    <rPh sb="5" eb="7">
      <t>バアイ</t>
    </rPh>
    <rPh sb="8" eb="10">
      <t>キョクリツ</t>
    </rPh>
    <rPh sb="14" eb="17">
      <t>ショキチ</t>
    </rPh>
    <rPh sb="28" eb="30">
      <t>ヘンコウ</t>
    </rPh>
    <rPh sb="34" eb="35">
      <t>ナオ</t>
    </rPh>
    <phoneticPr fontId="3"/>
  </si>
  <si>
    <t>耐震性能2の曲率の方が，耐震性能3-1の曲率より大きくなる場合も，初期値を変更してやり直す．</t>
    <rPh sb="0" eb="2">
      <t>タイシン</t>
    </rPh>
    <rPh sb="2" eb="4">
      <t>セイノウ</t>
    </rPh>
    <rPh sb="6" eb="8">
      <t>キョクリツ</t>
    </rPh>
    <rPh sb="9" eb="10">
      <t>ホウ</t>
    </rPh>
    <rPh sb="12" eb="14">
      <t>タイシン</t>
    </rPh>
    <rPh sb="14" eb="16">
      <t>セイノウ</t>
    </rPh>
    <rPh sb="20" eb="22">
      <t>キョクリツ</t>
    </rPh>
    <rPh sb="24" eb="25">
      <t>オオ</t>
    </rPh>
    <rPh sb="29" eb="31">
      <t>バアイ</t>
    </rPh>
    <rPh sb="33" eb="36">
      <t>ショキチ</t>
    </rPh>
    <rPh sb="37" eb="39">
      <t>ヘンコウ</t>
    </rPh>
    <rPh sb="43" eb="44">
      <t>ナオ</t>
    </rPh>
    <phoneticPr fontId="3"/>
  </si>
  <si>
    <t>2013.6.21</t>
    <phoneticPr fontId="3"/>
  </si>
  <si>
    <t>ver.1.1</t>
    <phoneticPr fontId="3"/>
  </si>
  <si>
    <t>改版履歴</t>
    <rPh sb="0" eb="2">
      <t>カイハン</t>
    </rPh>
    <rPh sb="2" eb="4">
      <t>リレキ</t>
    </rPh>
    <phoneticPr fontId="3"/>
  </si>
  <si>
    <t>公開</t>
    <rPh sb="0" eb="2">
      <t>コウカイ</t>
    </rPh>
    <phoneticPr fontId="3"/>
  </si>
  <si>
    <t>曲率の初期値をうまく設定しないと，耐震性能2の曲率が耐震性能3より大きくなる場合があり修正．</t>
    <rPh sb="0" eb="2">
      <t>キョクリツ</t>
    </rPh>
    <rPh sb="3" eb="6">
      <t>ショキチ</t>
    </rPh>
    <rPh sb="10" eb="12">
      <t>セッテイ</t>
    </rPh>
    <rPh sb="17" eb="19">
      <t>タイシン</t>
    </rPh>
    <rPh sb="19" eb="21">
      <t>セイノウ</t>
    </rPh>
    <rPh sb="23" eb="25">
      <t>キョクリツ</t>
    </rPh>
    <rPh sb="26" eb="28">
      <t>タイシン</t>
    </rPh>
    <rPh sb="28" eb="30">
      <t>セイノウ</t>
    </rPh>
    <rPh sb="33" eb="34">
      <t>オオ</t>
    </rPh>
    <rPh sb="38" eb="40">
      <t>バアイ</t>
    </rPh>
    <rPh sb="43" eb="45">
      <t>シュウセイ</t>
    </rPh>
    <phoneticPr fontId="3"/>
  </si>
  <si>
    <t>断面上端からの鉄筋中心位置(mm)</t>
    <rPh sb="0" eb="2">
      <t>ダンメン</t>
    </rPh>
    <rPh sb="2" eb="3">
      <t>ウエ</t>
    </rPh>
    <rPh sb="3" eb="4">
      <t>ハシ</t>
    </rPh>
    <rPh sb="7" eb="9">
      <t>テッキン</t>
    </rPh>
    <rPh sb="9" eb="13">
      <t>チュウシンイチ</t>
    </rPh>
    <phoneticPr fontId="3"/>
  </si>
  <si>
    <t>終局状態用コンクリート面積</t>
    <rPh sb="0" eb="2">
      <t>シュウキョク</t>
    </rPh>
    <rPh sb="2" eb="4">
      <t>ジョウタイ</t>
    </rPh>
    <rPh sb="4" eb="5">
      <t>ヨウ</t>
    </rPh>
    <rPh sb="11" eb="13">
      <t>メンセキ</t>
    </rPh>
    <phoneticPr fontId="3"/>
  </si>
  <si>
    <t>ver.1.2</t>
    <phoneticPr fontId="3"/>
  </si>
  <si>
    <t>換算断面積</t>
    <rPh sb="0" eb="2">
      <t>カンサン</t>
    </rPh>
    <rPh sb="2" eb="5">
      <t>ダンメンセキ</t>
    </rPh>
    <phoneticPr fontId="3"/>
  </si>
  <si>
    <t>A'</t>
    <phoneticPr fontId="3"/>
  </si>
  <si>
    <t>mm^2</t>
    <phoneticPr fontId="3"/>
  </si>
  <si>
    <t>図心のずれ</t>
    <rPh sb="0" eb="2">
      <t>ズシン</t>
    </rPh>
    <phoneticPr fontId="3"/>
  </si>
  <si>
    <t>mm</t>
    <phoneticPr fontId="3"/>
  </si>
  <si>
    <t>鉄筋総面積</t>
    <rPh sb="0" eb="2">
      <t>テッキン</t>
    </rPh>
    <rPh sb="2" eb="5">
      <t>ソウメンセキ</t>
    </rPh>
    <phoneticPr fontId="3"/>
  </si>
  <si>
    <t>As</t>
    <phoneticPr fontId="3"/>
  </si>
  <si>
    <t>e</t>
    <phoneticPr fontId="3"/>
  </si>
  <si>
    <t>換算断面二次モーメント</t>
    <rPh sb="0" eb="6">
      <t>カンサンダンメンニジ</t>
    </rPh>
    <phoneticPr fontId="3"/>
  </si>
  <si>
    <t>I'</t>
    <phoneticPr fontId="3"/>
  </si>
  <si>
    <t>mm^4</t>
    <phoneticPr fontId="3"/>
  </si>
  <si>
    <t>終局状態の計算でかぶりコンクリートが圧縮力を受け持っていたのと，ひび割れ時の計算が間違っていたのを修正．</t>
    <rPh sb="0" eb="2">
      <t>シュウキョク</t>
    </rPh>
    <rPh sb="2" eb="4">
      <t>ジョウタイ</t>
    </rPh>
    <rPh sb="5" eb="7">
      <t>ケイサン</t>
    </rPh>
    <rPh sb="18" eb="20">
      <t>アッシュク</t>
    </rPh>
    <rPh sb="20" eb="21">
      <t>リョク</t>
    </rPh>
    <rPh sb="22" eb="23">
      <t>ウ</t>
    </rPh>
    <rPh sb="24" eb="25">
      <t>モ</t>
    </rPh>
    <rPh sb="34" eb="35">
      <t>ワ</t>
    </rPh>
    <rPh sb="36" eb="37">
      <t>トキ</t>
    </rPh>
    <rPh sb="38" eb="40">
      <t>ケイサン</t>
    </rPh>
    <rPh sb="41" eb="43">
      <t>マチガ</t>
    </rPh>
    <rPh sb="49" eb="51">
      <t>シュウセイ</t>
    </rPh>
    <phoneticPr fontId="3"/>
  </si>
  <si>
    <t>2015.3.15</t>
    <phoneticPr fontId="3"/>
  </si>
  <si>
    <t>結果は「結果」シートに表示される．</t>
    <rPh sb="0" eb="2">
      <t>ケッカ</t>
    </rPh>
    <rPh sb="4" eb="6">
      <t>ケッカ</t>
    </rPh>
    <rPh sb="11" eb="13">
      <t>ヒョウジ</t>
    </rPh>
    <phoneticPr fontId="3"/>
  </si>
  <si>
    <t>各断面における軸力の影響を無視した場合におけるP-δ（水平力－水平変位）関係も，「結果」シートで計算される．</t>
    <rPh sb="0" eb="3">
      <t>カクダンメン</t>
    </rPh>
    <rPh sb="7" eb="9">
      <t>ジクリョク</t>
    </rPh>
    <rPh sb="10" eb="12">
      <t>エイキョウ</t>
    </rPh>
    <rPh sb="13" eb="15">
      <t>ムシ</t>
    </rPh>
    <rPh sb="17" eb="19">
      <t>バアイ</t>
    </rPh>
    <rPh sb="27" eb="29">
      <t>スイヘイタイリョク</t>
    </rPh>
    <rPh sb="29" eb="30">
      <t>リョク</t>
    </rPh>
    <rPh sb="31" eb="35">
      <t>スイヘイヘンイ</t>
    </rPh>
    <rPh sb="36" eb="38">
      <t>カンケイ</t>
    </rPh>
    <rPh sb="41" eb="43">
      <t>ケッカ</t>
    </rPh>
    <rPh sb="48" eb="50">
      <t>ケイサン</t>
    </rPh>
    <phoneticPr fontId="3"/>
  </si>
  <si>
    <t>１．塑性ヒンジ長の算出に必要な値</t>
    <rPh sb="2" eb="4">
      <t>ソセイ</t>
    </rPh>
    <rPh sb="7" eb="8">
      <t>チョウ</t>
    </rPh>
    <rPh sb="9" eb="11">
      <t>サンシュツ</t>
    </rPh>
    <rPh sb="12" eb="14">
      <t>ヒツヨウ</t>
    </rPh>
    <rPh sb="15" eb="16">
      <t>アタイ</t>
    </rPh>
    <phoneticPr fontId="3"/>
  </si>
  <si>
    <t>２．軸方向鉄筋の応力度-ひずみ曲線の算出に必要な値</t>
    <phoneticPr fontId="3"/>
  </si>
  <si>
    <t>３．コンクリートの応力度－ひずみ曲線の算出に必要な値</t>
    <phoneticPr fontId="3"/>
  </si>
  <si>
    <t>４．ファイバー要素における計算に必要な値</t>
    <rPh sb="7" eb="9">
      <t>ヨウソ</t>
    </rPh>
    <rPh sb="13" eb="15">
      <t>ケイサン</t>
    </rPh>
    <rPh sb="16" eb="18">
      <t>ヒツヨウ</t>
    </rPh>
    <rPh sb="19" eb="20">
      <t>アタイ</t>
    </rPh>
    <phoneticPr fontId="3"/>
  </si>
  <si>
    <t>断面上端からの鉄筋中心位置</t>
    <rPh sb="0" eb="2">
      <t>ダンメン</t>
    </rPh>
    <rPh sb="2" eb="4">
      <t>ジョウタン</t>
    </rPh>
    <rPh sb="7" eb="9">
      <t>テッキン</t>
    </rPh>
    <rPh sb="9" eb="11">
      <t>チュウシン</t>
    </rPh>
    <rPh sb="11" eb="13">
      <t>イチ</t>
    </rPh>
    <phoneticPr fontId="3"/>
  </si>
  <si>
    <t>鉄筋断面積As</t>
    <rPh sb="0" eb="2">
      <t>テッキン</t>
    </rPh>
    <rPh sb="2" eb="5">
      <t>ダンメンセキ</t>
    </rPh>
    <phoneticPr fontId="3"/>
  </si>
  <si>
    <t>鉄筋応力s_y</t>
    <phoneticPr fontId="3"/>
  </si>
  <si>
    <t>鉄筋力P_s</t>
    <rPh sb="0" eb="2">
      <t>テッキン</t>
    </rPh>
    <rPh sb="2" eb="3">
      <t>リョク</t>
    </rPh>
    <phoneticPr fontId="3"/>
  </si>
  <si>
    <t>鉄筋モーメント</t>
    <rPh sb="0" eb="2">
      <t>テッキン</t>
    </rPh>
    <phoneticPr fontId="3"/>
  </si>
  <si>
    <t>コンクリートモーメントs*z</t>
    <phoneticPr fontId="3"/>
  </si>
  <si>
    <t>グラフ用</t>
    <rPh sb="3" eb="4">
      <t>ヨウ</t>
    </rPh>
    <phoneticPr fontId="3"/>
  </si>
  <si>
    <t>曲率(1/m)</t>
    <rPh sb="0" eb="2">
      <t>キョクリツ</t>
    </rPh>
    <phoneticPr fontId="3"/>
  </si>
  <si>
    <t>曲げモーメント(MN.m)</t>
    <rPh sb="0" eb="1">
      <t>マ</t>
    </rPh>
    <phoneticPr fontId="3"/>
  </si>
  <si>
    <t>変位(mm)</t>
    <rPh sb="0" eb="2">
      <t>ヘンイ</t>
    </rPh>
    <phoneticPr fontId="3"/>
  </si>
  <si>
    <t>耐力(MN)</t>
    <rPh sb="0" eb="2">
      <t>タイリョク</t>
    </rPh>
    <phoneticPr fontId="3"/>
  </si>
  <si>
    <t>その1とその2の曲率faiが小さい方を解として採用する．</t>
    <rPh sb="8" eb="10">
      <t>キョクリツ</t>
    </rPh>
    <rPh sb="14" eb="15">
      <t>チイ</t>
    </rPh>
    <rPh sb="17" eb="18">
      <t>ホウ</t>
    </rPh>
    <rPh sb="19" eb="20">
      <t>カイ</t>
    </rPh>
    <rPh sb="23" eb="25">
      <t>サイヨウ</t>
    </rPh>
    <phoneticPr fontId="3"/>
  </si>
  <si>
    <t>立命館大学理工学部環境都市工学科</t>
    <rPh sb="9" eb="11">
      <t>カンキョウ</t>
    </rPh>
    <phoneticPr fontId="3"/>
  </si>
  <si>
    <t>平成29年度版　道路橋示方書　耐震設計編に準拠</t>
    <rPh sb="0" eb="2">
      <t>ヘイセイ</t>
    </rPh>
    <rPh sb="4" eb="6">
      <t>ネンド</t>
    </rPh>
    <rPh sb="6" eb="7">
      <t>ハン</t>
    </rPh>
    <rPh sb="8" eb="14">
      <t>ドウロキョウシホウショ</t>
    </rPh>
    <rPh sb="15" eb="19">
      <t>タイシンセッケイヘン</t>
    </rPh>
    <rPh sb="19" eb="20">
      <t>ヘンシュウ</t>
    </rPh>
    <rPh sb="21" eb="23">
      <t>ジュンキョ</t>
    </rPh>
    <phoneticPr fontId="3"/>
  </si>
  <si>
    <t>2019.4.17</t>
    <phoneticPr fontId="3"/>
  </si>
  <si>
    <t>ver.1.3</t>
    <phoneticPr fontId="3"/>
  </si>
  <si>
    <t>ver.1.3</t>
    <phoneticPr fontId="3"/>
  </si>
  <si>
    <t>連絡先学科名の修正のみ</t>
    <rPh sb="0" eb="3">
      <t>レンラクサキ</t>
    </rPh>
    <rPh sb="3" eb="6">
      <t>ガッカメイ</t>
    </rPh>
    <rPh sb="7" eb="9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</si>
</sst>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00_);[Red]\(0.000\)"/>
    <numFmt numFmtId="177" formatCode="0.00000"/>
    <numFmt numFmtId="178" formatCode="0.0000"/>
    <numFmt numFmtId="179" formatCode="0.000"/>
    <numFmt numFmtId="180" formatCode="0.0"/>
    <numFmt numFmtId="181" formatCode="#,##0.00000;[Red]\-#,##0.00000"/>
    <numFmt numFmtId="182" formatCode="0.000E+00"/>
    <numFmt numFmtId="183" formatCode="0.000.E+00"/>
    <numFmt numFmtId="184" formatCode="0_);[Red]\(0\)"/>
    <numFmt numFmtId="185" formatCode="0.000E+00;\_x0000_"/>
    <numFmt numFmtId="186" formatCode="0.0.E+00"/>
    <numFmt numFmtId="187" formatCode="0.00.E+0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0" tint="-0.34998626667073579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80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" fontId="6" fillId="0" borderId="0" xfId="0" applyNumberFormat="1" applyFont="1">
      <alignment vertical="center"/>
    </xf>
    <xf numFmtId="38" fontId="4" fillId="0" borderId="0" xfId="1" applyFont="1">
      <alignment vertical="center"/>
    </xf>
    <xf numFmtId="0" fontId="7" fillId="0" borderId="0" xfId="0" applyFont="1">
      <alignment vertical="center"/>
    </xf>
    <xf numFmtId="0" fontId="7" fillId="0" borderId="0" xfId="0" quotePrefix="1" applyFont="1">
      <alignment vertical="center"/>
    </xf>
    <xf numFmtId="2" fontId="0" fillId="0" borderId="0" xfId="0" applyNumberFormat="1">
      <alignment vertical="center"/>
    </xf>
    <xf numFmtId="178" fontId="0" fillId="0" borderId="1" xfId="0" applyNumberFormat="1" applyBorder="1">
      <alignment vertical="center"/>
    </xf>
    <xf numFmtId="181" fontId="6" fillId="0" borderId="1" xfId="1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181" fontId="0" fillId="0" borderId="0" xfId="0" applyNumberFormat="1" applyBorder="1">
      <alignment vertical="center"/>
    </xf>
    <xf numFmtId="0" fontId="5" fillId="0" borderId="0" xfId="0" quotePrefix="1" applyFont="1">
      <alignment vertical="center"/>
    </xf>
    <xf numFmtId="177" fontId="0" fillId="0" borderId="1" xfId="0" applyNumberFormat="1" applyBorder="1">
      <alignment vertical="center"/>
    </xf>
    <xf numFmtId="182" fontId="0" fillId="0" borderId="0" xfId="0" applyNumberFormat="1">
      <alignment vertical="center"/>
    </xf>
    <xf numFmtId="182" fontId="4" fillId="0" borderId="0" xfId="0" applyNumberFormat="1" applyFont="1">
      <alignment vertical="center"/>
    </xf>
    <xf numFmtId="0" fontId="4" fillId="0" borderId="0" xfId="0" quotePrefix="1" applyFont="1">
      <alignment vertical="center"/>
    </xf>
    <xf numFmtId="183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0" fillId="0" borderId="0" xfId="0" applyBorder="1">
      <alignment vertical="center"/>
    </xf>
    <xf numFmtId="179" fontId="7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1" fontId="5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2" fillId="0" borderId="0" xfId="0" applyFont="1" applyAlignment="1"/>
    <xf numFmtId="178" fontId="0" fillId="0" borderId="0" xfId="0" applyNumberFormat="1" applyBorder="1">
      <alignment vertical="center"/>
    </xf>
    <xf numFmtId="181" fontId="6" fillId="0" borderId="0" xfId="1" applyNumberFormat="1" applyFont="1" applyBorder="1">
      <alignment vertical="center"/>
    </xf>
    <xf numFmtId="177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184" fontId="5" fillId="0" borderId="0" xfId="0" applyNumberFormat="1" applyFont="1">
      <alignment vertical="center"/>
    </xf>
    <xf numFmtId="1" fontId="0" fillId="0" borderId="0" xfId="0" applyNumberFormat="1" applyAlignment="1"/>
    <xf numFmtId="184" fontId="2" fillId="0" borderId="0" xfId="0" applyNumberFormat="1" applyFont="1" applyAlignment="1">
      <alignment vertical="center" wrapText="1"/>
    </xf>
    <xf numFmtId="184" fontId="2" fillId="0" borderId="0" xfId="0" applyNumberFormat="1" applyFont="1">
      <alignment vertical="center"/>
    </xf>
    <xf numFmtId="184" fontId="2" fillId="0" borderId="0" xfId="0" quotePrefix="1" applyNumberFormat="1" applyFont="1">
      <alignment vertical="center"/>
    </xf>
    <xf numFmtId="184" fontId="2" fillId="0" borderId="0" xfId="0" applyNumberFormat="1" applyFont="1" applyBorder="1">
      <alignment vertical="center"/>
    </xf>
    <xf numFmtId="184" fontId="2" fillId="0" borderId="0" xfId="1" applyNumberFormat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81" fontId="2" fillId="0" borderId="0" xfId="1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84" fontId="2" fillId="0" borderId="0" xfId="0" applyNumberFormat="1" applyFont="1" applyAlignment="1">
      <alignment horizontal="center" vertical="center"/>
    </xf>
    <xf numFmtId="1" fontId="0" fillId="0" borderId="0" xfId="0" applyNumberFormat="1">
      <alignment vertical="center"/>
    </xf>
    <xf numFmtId="0" fontId="0" fillId="0" borderId="2" xfId="0" applyBorder="1">
      <alignment vertical="center"/>
    </xf>
    <xf numFmtId="0" fontId="5" fillId="0" borderId="0" xfId="0" applyFont="1" applyFill="1" applyBorder="1">
      <alignment vertical="center"/>
    </xf>
    <xf numFmtId="2" fontId="0" fillId="0" borderId="0" xfId="0" applyNumberFormat="1" applyBorder="1">
      <alignment vertical="center"/>
    </xf>
    <xf numFmtId="183" fontId="0" fillId="0" borderId="0" xfId="0" applyNumberFormat="1">
      <alignment vertical="center"/>
    </xf>
    <xf numFmtId="185" fontId="0" fillId="0" borderId="0" xfId="0" applyNumberFormat="1">
      <alignment vertical="center"/>
    </xf>
    <xf numFmtId="184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83" fontId="0" fillId="0" borderId="4" xfId="0" applyNumberFormat="1" applyBorder="1">
      <alignment vertical="center"/>
    </xf>
    <xf numFmtId="183" fontId="0" fillId="0" borderId="5" xfId="0" applyNumberFormat="1" applyBorder="1">
      <alignment vertical="center"/>
    </xf>
    <xf numFmtId="2" fontId="0" fillId="0" borderId="5" xfId="0" applyNumberFormat="1" applyBorder="1">
      <alignment vertical="center"/>
    </xf>
    <xf numFmtId="182" fontId="0" fillId="0" borderId="4" xfId="0" applyNumberFormat="1" applyBorder="1">
      <alignment vertical="center"/>
    </xf>
    <xf numFmtId="182" fontId="0" fillId="0" borderId="5" xfId="0" applyNumberFormat="1" applyBorder="1">
      <alignment vertical="center"/>
    </xf>
    <xf numFmtId="180" fontId="0" fillId="0" borderId="4" xfId="0" applyNumberFormat="1" applyBorder="1">
      <alignment vertical="center"/>
    </xf>
    <xf numFmtId="1" fontId="0" fillId="0" borderId="4" xfId="0" applyNumberFormat="1" applyBorder="1">
      <alignment vertical="center"/>
    </xf>
    <xf numFmtId="183" fontId="0" fillId="0" borderId="1" xfId="0" applyNumberFormat="1" applyBorder="1">
      <alignment vertical="center"/>
    </xf>
    <xf numFmtId="1" fontId="0" fillId="0" borderId="0" xfId="0" applyNumberFormat="1" applyBorder="1">
      <alignment vertical="center"/>
    </xf>
    <xf numFmtId="186" fontId="5" fillId="0" borderId="0" xfId="0" applyNumberFormat="1" applyFont="1">
      <alignment vertical="center"/>
    </xf>
    <xf numFmtId="187" fontId="0" fillId="0" borderId="0" xfId="0" applyNumberFormat="1" applyBorder="1">
      <alignment vertical="center"/>
    </xf>
    <xf numFmtId="187" fontId="0" fillId="0" borderId="0" xfId="0" applyNumberFormat="1">
      <alignment vertical="center"/>
    </xf>
    <xf numFmtId="14" fontId="0" fillId="0" borderId="0" xfId="0" quotePrefix="1" applyNumberFormat="1" applyAlignment="1">
      <alignment horizontal="left" vertical="center"/>
    </xf>
    <xf numFmtId="0" fontId="6" fillId="0" borderId="0" xfId="0" applyFont="1" applyBorder="1">
      <alignment vertical="center"/>
    </xf>
    <xf numFmtId="186" fontId="0" fillId="0" borderId="0" xfId="0" applyNumberFormat="1" applyAlignment="1">
      <alignment vertical="center" wrapText="1"/>
    </xf>
    <xf numFmtId="186" fontId="0" fillId="0" borderId="0" xfId="0" applyNumberFormat="1">
      <alignment vertical="center"/>
    </xf>
    <xf numFmtId="0" fontId="13" fillId="0" borderId="0" xfId="0" applyFont="1">
      <alignment vertical="center"/>
    </xf>
    <xf numFmtId="185" fontId="14" fillId="0" borderId="0" xfId="0" applyNumberFormat="1" applyFont="1">
      <alignment vertical="center"/>
    </xf>
    <xf numFmtId="180" fontId="14" fillId="0" borderId="0" xfId="0" applyNumberFormat="1" applyFont="1">
      <alignment vertical="center"/>
    </xf>
    <xf numFmtId="183" fontId="14" fillId="0" borderId="0" xfId="0" applyNumberFormat="1" applyFont="1">
      <alignment vertical="center"/>
    </xf>
    <xf numFmtId="2" fontId="14" fillId="0" borderId="0" xfId="0" applyNumberFormat="1" applyFont="1">
      <alignment vertical="center"/>
    </xf>
    <xf numFmtId="1" fontId="14" fillId="0" borderId="0" xfId="0" applyNumberFormat="1" applyFont="1">
      <alignment vertical="center"/>
    </xf>
    <xf numFmtId="182" fontId="14" fillId="0" borderId="0" xfId="0" applyNumberFormat="1" applyFont="1">
      <alignment vertical="center"/>
    </xf>
  </cellXfs>
  <cellStyles count="168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9492563429573"/>
          <c:y val="5.0925925925925923E-2"/>
          <c:w val="0.81726618547681551"/>
          <c:h val="0.73982283464566934"/>
        </c:manualLayout>
      </c:layout>
      <c:scatterChart>
        <c:scatterStyle val="lineMarker"/>
        <c:varyColors val="0"/>
        <c:ser>
          <c:idx val="0"/>
          <c:order val="0"/>
          <c:tx>
            <c:v>計算値</c:v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結果!$B$33:$B$37</c:f>
              <c:numCache>
                <c:formatCode>General</c:formatCode>
                <c:ptCount val="5"/>
                <c:pt idx="0">
                  <c:v>0</c:v>
                </c:pt>
                <c:pt idx="1">
                  <c:v>1.120504551173638E-4</c:v>
                </c:pt>
                <c:pt idx="2">
                  <c:v>1.3567875214450153E-3</c:v>
                </c:pt>
                <c:pt idx="3">
                  <c:v>2.3188015194095975E-2</c:v>
                </c:pt>
                <c:pt idx="4">
                  <c:v>3.2352147649256049E-2</c:v>
                </c:pt>
              </c:numCache>
            </c:numRef>
          </c:xVal>
          <c:yVal>
            <c:numRef>
              <c:f>結果!$C$33:$C$37</c:f>
              <c:numCache>
                <c:formatCode>General</c:formatCode>
                <c:ptCount val="5"/>
                <c:pt idx="0">
                  <c:v>0</c:v>
                </c:pt>
                <c:pt idx="1">
                  <c:v>9.5875167361554432</c:v>
                </c:pt>
                <c:pt idx="2">
                  <c:v>30.380603852364668</c:v>
                </c:pt>
                <c:pt idx="3">
                  <c:v>34.31535078663714</c:v>
                </c:pt>
                <c:pt idx="4">
                  <c:v>34.299876907884531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B3-4EF3-99F3-E22CC303C9E0}"/>
            </c:ext>
          </c:extLst>
        </c:ser>
        <c:ser>
          <c:idx val="1"/>
          <c:order val="1"/>
          <c:tx>
            <c:v>ひび割れ・初降伏無視</c:v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結果!$B$39:$B$42</c:f>
              <c:numCache>
                <c:formatCode>General</c:formatCode>
                <c:ptCount val="4"/>
                <c:pt idx="0">
                  <c:v>0</c:v>
                </c:pt>
                <c:pt idx="1">
                  <c:v>1.5325119924399981E-3</c:v>
                </c:pt>
                <c:pt idx="2">
                  <c:v>2.3188015194095975E-2</c:v>
                </c:pt>
                <c:pt idx="3">
                  <c:v>3.2352147649256049E-2</c:v>
                </c:pt>
              </c:numCache>
            </c:numRef>
          </c:xVal>
          <c:yVal>
            <c:numRef>
              <c:f>結果!$C$39:$C$42</c:f>
              <c:numCache>
                <c:formatCode>General</c:formatCode>
                <c:ptCount val="4"/>
                <c:pt idx="0">
                  <c:v>0</c:v>
                </c:pt>
                <c:pt idx="1">
                  <c:v>34.31535078663714</c:v>
                </c:pt>
                <c:pt idx="2">
                  <c:v>34.31535078663714</c:v>
                </c:pt>
                <c:pt idx="3">
                  <c:v>34.299876907884531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B3-4EF3-99F3-E22CC303C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901880"/>
        <c:axId val="449902272"/>
      </c:scatterChart>
      <c:valAx>
        <c:axId val="449901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</a:rPr>
                  <a:t>曲率 </a:t>
                </a:r>
                <a:r>
                  <a:rPr lang="en-US" altLang="ja-JP">
                    <a:solidFill>
                      <a:sysClr val="windowText" lastClr="000000"/>
                    </a:solidFill>
                  </a:rPr>
                  <a:t>(1/m)</a:t>
                </a:r>
                <a:endParaRPr lang="ja-JP" alt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902272"/>
        <c:crosses val="autoZero"/>
        <c:crossBetween val="midCat"/>
      </c:valAx>
      <c:valAx>
        <c:axId val="44990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</a:rPr>
                  <a:t>曲げモーメント </a:t>
                </a:r>
                <a:r>
                  <a:rPr lang="en-US" altLang="ja-JP">
                    <a:solidFill>
                      <a:sysClr val="windowText" lastClr="000000"/>
                    </a:solidFill>
                  </a:rPr>
                  <a:t>(MN.m)</a:t>
                </a:r>
                <a:endParaRPr lang="ja-JP" alt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901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83333333333333"/>
          <c:y val="0.32002260134149896"/>
          <c:w val="0.3855555555555556"/>
          <c:h val="0.21180664916885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3648293963253"/>
          <c:y val="5.0925925925925923E-2"/>
          <c:w val="0.82053018372703401"/>
          <c:h val="0.77685987168270632"/>
        </c:manualLayout>
      </c:layout>
      <c:scatterChart>
        <c:scatterStyle val="lineMarker"/>
        <c:varyColors val="0"/>
        <c:ser>
          <c:idx val="0"/>
          <c:order val="0"/>
          <c:tx>
            <c:v>計算値</c:v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結果!$B$45:$B$49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3.7357621736129087</c:v>
                </c:pt>
                <c:pt idx="2" formatCode="0.00">
                  <c:v>38.305408598672443</c:v>
                </c:pt>
                <c:pt idx="3" formatCode="0">
                  <c:v>182.08297969263921</c:v>
                </c:pt>
                <c:pt idx="4" formatCode="0">
                  <c:v>240.82704360075937</c:v>
                </c:pt>
              </c:numCache>
            </c:numRef>
          </c:xVal>
          <c:yVal>
            <c:numRef>
              <c:f>結果!$C$45:$C$49</c:f>
              <c:numCache>
                <c:formatCode>0.000.E+00</c:formatCode>
                <c:ptCount val="5"/>
                <c:pt idx="0" formatCode="General">
                  <c:v>0</c:v>
                </c:pt>
                <c:pt idx="1">
                  <c:v>0.95875167361554436</c:v>
                </c:pt>
                <c:pt idx="2">
                  <c:v>3.0380603852364669</c:v>
                </c:pt>
                <c:pt idx="3" formatCode="0.000E+00">
                  <c:v>3.4315350786637135</c:v>
                </c:pt>
                <c:pt idx="4" formatCode="0.000E+00">
                  <c:v>3.4315350786637135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AC-439B-B0F7-6839794CE4EC}"/>
            </c:ext>
          </c:extLst>
        </c:ser>
        <c:ser>
          <c:idx val="1"/>
          <c:order val="1"/>
          <c:tx>
            <c:v>ひび割れ・初降伏無視</c:v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結果!$B$51:$B$54</c:f>
              <c:numCache>
                <c:formatCode>0.0</c:formatCode>
                <c:ptCount val="4"/>
                <c:pt idx="0" formatCode="General">
                  <c:v>0</c:v>
                </c:pt>
                <c:pt idx="1">
                  <c:v>43.266537409084457</c:v>
                </c:pt>
                <c:pt idx="2" formatCode="0">
                  <c:v>182.08297969263921</c:v>
                </c:pt>
                <c:pt idx="3" formatCode="0">
                  <c:v>240.82704360075937</c:v>
                </c:pt>
              </c:numCache>
            </c:numRef>
          </c:xVal>
          <c:yVal>
            <c:numRef>
              <c:f>結果!$C$51:$C$54</c:f>
              <c:numCache>
                <c:formatCode>0.000E+00</c:formatCode>
                <c:ptCount val="4"/>
                <c:pt idx="0" formatCode="General">
                  <c:v>0</c:v>
                </c:pt>
                <c:pt idx="1">
                  <c:v>3.4315350786637135</c:v>
                </c:pt>
                <c:pt idx="2">
                  <c:v>3.4315350786637135</c:v>
                </c:pt>
                <c:pt idx="3">
                  <c:v>3.4315350786637135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AC-439B-B0F7-6839794CE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903056"/>
        <c:axId val="592831144"/>
      </c:scatterChart>
      <c:valAx>
        <c:axId val="44990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</a:rPr>
                  <a:t>変位 </a:t>
                </a:r>
                <a:r>
                  <a:rPr lang="en-US" altLang="ja-JP">
                    <a:solidFill>
                      <a:sysClr val="windowText" lastClr="000000"/>
                    </a:solidFill>
                  </a:rPr>
                  <a:t>(mm)</a:t>
                </a:r>
                <a:endParaRPr lang="ja-JP" alt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831144"/>
        <c:crosses val="autoZero"/>
        <c:crossBetween val="midCat"/>
      </c:valAx>
      <c:valAx>
        <c:axId val="592831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</a:rPr>
                  <a:t>耐力 </a:t>
                </a:r>
                <a:r>
                  <a:rPr lang="en-US" altLang="ja-JP">
                    <a:solidFill>
                      <a:sysClr val="windowText" lastClr="000000"/>
                    </a:solidFill>
                  </a:rPr>
                  <a:t>(MN)</a:t>
                </a:r>
                <a:endParaRPr lang="ja-JP" alt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903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83333333333333"/>
          <c:y val="0.35705963837853605"/>
          <c:w val="0.39944444444444449"/>
          <c:h val="0.19328813065033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519112</xdr:colOff>
      <xdr:row>1</xdr:row>
      <xdr:rowOff>152400</xdr:rowOff>
    </xdr:from>
    <xdr:to>
      <xdr:col>9</xdr:col>
      <xdr:colOff>138112</xdr:colOff>
      <xdr:row>17</xdr:row>
      <xdr:rowOff>152400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547687</xdr:colOff>
      <xdr:row>18</xdr:row>
      <xdr:rowOff>47625</xdr:rowOff>
    </xdr:from>
    <xdr:to>
      <xdr:col>9</xdr:col>
      <xdr:colOff>166687</xdr:colOff>
      <xdr:row>34</xdr:row>
      <xdr:rowOff>47625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L22" sqref="L22"/>
    </sheetView>
  </sheetViews>
  <sheetFormatPr defaultColWidth="8.875" defaultRowHeight="13.5" x14ac:dyDescent="0.15"/>
  <cols>
    <col min="1" max="1" width="13.5" customWidth="1"/>
    <col min="2" max="2" width="15.375" customWidth="1"/>
  </cols>
  <sheetData>
    <row r="1" spans="1:7" x14ac:dyDescent="0.15">
      <c r="A1" t="s">
        <v>139</v>
      </c>
      <c r="F1" s="38" t="s">
        <v>131</v>
      </c>
      <c r="G1" s="38" t="s">
        <v>132</v>
      </c>
    </row>
    <row r="2" spans="1:7" x14ac:dyDescent="0.15">
      <c r="A2" s="84">
        <v>43572</v>
      </c>
      <c r="B2" t="s">
        <v>265</v>
      </c>
      <c r="F2" s="38" t="s">
        <v>133</v>
      </c>
      <c r="G2" s="38" t="s">
        <v>134</v>
      </c>
    </row>
    <row r="3" spans="1:7" x14ac:dyDescent="0.15">
      <c r="F3" s="38"/>
      <c r="G3" s="38" t="s">
        <v>135</v>
      </c>
    </row>
    <row r="4" spans="1:7" x14ac:dyDescent="0.15">
      <c r="F4" s="38"/>
      <c r="G4" s="38" t="s">
        <v>261</v>
      </c>
    </row>
    <row r="5" spans="1:7" x14ac:dyDescent="0.15">
      <c r="A5" t="s">
        <v>89</v>
      </c>
    </row>
    <row r="6" spans="1:7" x14ac:dyDescent="0.15">
      <c r="B6" t="s">
        <v>210</v>
      </c>
    </row>
    <row r="7" spans="1:7" x14ac:dyDescent="0.15">
      <c r="B7" t="s">
        <v>161</v>
      </c>
    </row>
    <row r="9" spans="1:7" x14ac:dyDescent="0.15">
      <c r="A9" t="s">
        <v>174</v>
      </c>
    </row>
    <row r="10" spans="1:7" x14ac:dyDescent="0.15">
      <c r="B10" t="s">
        <v>129</v>
      </c>
    </row>
    <row r="11" spans="1:7" x14ac:dyDescent="0.15">
      <c r="B11" t="s">
        <v>122</v>
      </c>
    </row>
    <row r="12" spans="1:7" x14ac:dyDescent="0.15">
      <c r="B12" t="s">
        <v>90</v>
      </c>
    </row>
    <row r="13" spans="1:7" x14ac:dyDescent="0.15">
      <c r="B13" t="s">
        <v>123</v>
      </c>
    </row>
    <row r="14" spans="1:7" x14ac:dyDescent="0.15">
      <c r="B14" t="s">
        <v>219</v>
      </c>
    </row>
    <row r="15" spans="1:7" x14ac:dyDescent="0.15">
      <c r="B15" t="s">
        <v>220</v>
      </c>
    </row>
    <row r="16" spans="1:7" x14ac:dyDescent="0.15">
      <c r="B16" t="s">
        <v>221</v>
      </c>
    </row>
    <row r="17" spans="1:4" x14ac:dyDescent="0.15">
      <c r="A17" s="7"/>
    </row>
    <row r="18" spans="1:4" x14ac:dyDescent="0.15">
      <c r="A18" s="7" t="s">
        <v>243</v>
      </c>
    </row>
    <row r="19" spans="1:4" x14ac:dyDescent="0.15">
      <c r="A19" t="s">
        <v>262</v>
      </c>
    </row>
    <row r="20" spans="1:4" x14ac:dyDescent="0.15">
      <c r="A20" t="s">
        <v>244</v>
      </c>
    </row>
    <row r="22" spans="1:4" x14ac:dyDescent="0.15">
      <c r="A22" t="s">
        <v>224</v>
      </c>
    </row>
    <row r="23" spans="1:4" x14ac:dyDescent="0.15">
      <c r="B23" t="s">
        <v>162</v>
      </c>
      <c r="C23" t="s">
        <v>130</v>
      </c>
      <c r="D23" t="s">
        <v>225</v>
      </c>
    </row>
    <row r="24" spans="1:4" x14ac:dyDescent="0.15">
      <c r="B24" t="s">
        <v>222</v>
      </c>
      <c r="C24" t="s">
        <v>223</v>
      </c>
      <c r="D24" t="s">
        <v>226</v>
      </c>
    </row>
    <row r="25" spans="1:4" x14ac:dyDescent="0.15">
      <c r="B25" t="s">
        <v>242</v>
      </c>
      <c r="C25" t="s">
        <v>229</v>
      </c>
      <c r="D25" t="s">
        <v>241</v>
      </c>
    </row>
    <row r="26" spans="1:4" x14ac:dyDescent="0.15">
      <c r="B26" t="s">
        <v>263</v>
      </c>
      <c r="C26" t="s">
        <v>264</v>
      </c>
      <c r="D26" t="s">
        <v>266</v>
      </c>
    </row>
  </sheetData>
  <phoneticPr fontId="3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workbookViewId="0">
      <selection activeCell="J2" sqref="J2"/>
    </sheetView>
  </sheetViews>
  <sheetFormatPr defaultColWidth="8.875" defaultRowHeight="13.5" x14ac:dyDescent="0.15"/>
  <cols>
    <col min="1" max="1" width="45.875" customWidth="1"/>
    <col min="2" max="2" width="7.125" style="7" customWidth="1"/>
    <col min="3" max="3" width="8.125" style="7" customWidth="1"/>
    <col min="4" max="4" width="9.875" customWidth="1"/>
    <col min="5" max="5" width="38.125" customWidth="1"/>
    <col min="6" max="6" width="8.875" style="7" customWidth="1"/>
    <col min="7" max="7" width="8.875" customWidth="1"/>
    <col min="8" max="8" width="10.875" customWidth="1"/>
    <col min="9" max="9" width="3.625" customWidth="1"/>
    <col min="10" max="10" width="8.375" style="46" customWidth="1"/>
    <col min="11" max="11" width="8.375" style="51" customWidth="1"/>
    <col min="12" max="14" width="8.375" style="7" customWidth="1"/>
    <col min="15" max="15" width="8.375" style="46" customWidth="1"/>
    <col min="16" max="20" width="8.375" style="7" customWidth="1"/>
    <col min="21" max="21" width="2.875" customWidth="1"/>
    <col min="22" max="22" width="9.625" customWidth="1"/>
    <col min="23" max="23" width="8.875" style="7"/>
    <col min="24" max="24" width="8.875" style="36"/>
    <col min="25" max="25" width="6.375" style="18" customWidth="1"/>
    <col min="26" max="26" width="6.125" style="18" bestFit="1" customWidth="1"/>
    <col min="27" max="29" width="5.5" style="18" customWidth="1"/>
    <col min="30" max="30" width="6.5" style="18" bestFit="1" customWidth="1"/>
    <col min="31" max="32" width="8.375" style="18" customWidth="1"/>
    <col min="33" max="33" width="8.875" style="7"/>
  </cols>
  <sheetData>
    <row r="1" spans="1:38" ht="54" x14ac:dyDescent="0.15">
      <c r="A1" s="42" t="s">
        <v>94</v>
      </c>
      <c r="J1" s="45" t="s">
        <v>227</v>
      </c>
      <c r="K1" s="50" t="s">
        <v>140</v>
      </c>
      <c r="L1" s="34" t="s">
        <v>141</v>
      </c>
      <c r="M1" s="34" t="s">
        <v>142</v>
      </c>
      <c r="N1" s="34" t="s">
        <v>143</v>
      </c>
      <c r="O1" s="45" t="s">
        <v>144</v>
      </c>
      <c r="P1" s="34" t="s">
        <v>145</v>
      </c>
      <c r="Q1" s="34" t="s">
        <v>146</v>
      </c>
      <c r="R1" s="34" t="s">
        <v>147</v>
      </c>
      <c r="S1" s="34" t="s">
        <v>163</v>
      </c>
      <c r="T1" s="34" t="s">
        <v>172</v>
      </c>
      <c r="U1" s="17"/>
      <c r="V1" s="17" t="s">
        <v>150</v>
      </c>
      <c r="W1" s="34" t="s">
        <v>119</v>
      </c>
      <c r="X1" s="37" t="s">
        <v>83</v>
      </c>
      <c r="Y1" s="18" t="s">
        <v>151</v>
      </c>
      <c r="Z1" s="18" t="s">
        <v>152</v>
      </c>
      <c r="AA1" s="18" t="s">
        <v>153</v>
      </c>
      <c r="AB1" s="18" t="s">
        <v>154</v>
      </c>
      <c r="AC1" s="18" t="s">
        <v>144</v>
      </c>
      <c r="AD1" s="18" t="s">
        <v>155</v>
      </c>
      <c r="AE1" s="18" t="s">
        <v>156</v>
      </c>
      <c r="AF1" s="18" t="s">
        <v>146</v>
      </c>
      <c r="AG1" s="34" t="s">
        <v>84</v>
      </c>
      <c r="AH1" s="17" t="s">
        <v>85</v>
      </c>
      <c r="AI1" s="17" t="s">
        <v>228</v>
      </c>
      <c r="AJ1" s="17"/>
      <c r="AK1" s="17"/>
      <c r="AL1" s="17"/>
    </row>
    <row r="2" spans="1:38" x14ac:dyDescent="0.15">
      <c r="A2" s="4" t="s">
        <v>64</v>
      </c>
      <c r="B2" s="7" t="s">
        <v>92</v>
      </c>
      <c r="C2" t="s">
        <v>13</v>
      </c>
      <c r="D2" s="4">
        <v>4000</v>
      </c>
      <c r="J2" s="46">
        <v>150</v>
      </c>
      <c r="K2" s="51" t="s">
        <v>104</v>
      </c>
      <c r="L2" s="7">
        <f t="shared" ref="L2:L33" si="0">IF(ISERROR(VLOOKUP(K2,$E$38:$G$50,2,FALSE)),"",VLOOKUP(K2,$E$38:$G$50,2,FALSE)/2)</f>
        <v>15.9</v>
      </c>
      <c r="M2" s="43">
        <f t="shared" ref="M2:M33" si="1">IF(L2="","",J2-L2)</f>
        <v>134.1</v>
      </c>
      <c r="N2" s="43">
        <f t="shared" ref="N2:N33" si="2">IF(L2="","",J2+L2)</f>
        <v>165.9</v>
      </c>
      <c r="O2" s="46">
        <v>31</v>
      </c>
      <c r="P2" s="7">
        <f t="shared" ref="P2:P33" si="3">IF(ISERROR(VLOOKUP(K2,$E$38:$G$50,3,FALSE)),"",VLOOKUP(K2,$E$38:$G$50,3,FALSE)*O2)</f>
        <v>24620.2</v>
      </c>
      <c r="Q2" s="7">
        <f>P2</f>
        <v>24620.2</v>
      </c>
      <c r="R2" s="7">
        <f>IF(L2="","",L2)</f>
        <v>15.9</v>
      </c>
      <c r="S2" s="81">
        <f>IF(L2="","",$H$29*(P2*($D$3/2-J2)))</f>
        <v>149479785.71428573</v>
      </c>
      <c r="T2" s="7">
        <f>IF(L2="","",$H$29*P2*(J2-$D$3/2)^2)</f>
        <v>127057817857.14287</v>
      </c>
      <c r="V2">
        <v>0</v>
      </c>
      <c r="W2" s="32">
        <f>H3</f>
        <v>40</v>
      </c>
      <c r="X2" s="36">
        <f>W2/2</f>
        <v>20</v>
      </c>
      <c r="Y2" s="18" t="b">
        <f>ISERROR(VLOOKUP(W2,$M$2:$M$51,1,TRUE))</f>
        <v>1</v>
      </c>
      <c r="Z2" s="18">
        <f>IF(Y2,0,VLOOKUP(W2,$M$2:$R$51,6,1))</f>
        <v>0</v>
      </c>
      <c r="AA2" s="18">
        <f>IF(Y2,0,VLOOKUP(W2,$M$2:$M$51,1,TRUE))</f>
        <v>0</v>
      </c>
      <c r="AB2" s="18">
        <f>IF(Y2,0,VLOOKUP(W2,$M$2:$N$51,2,TRUE))</f>
        <v>0</v>
      </c>
      <c r="AC2" s="18">
        <f>IF(Y2,0,VLOOKUP(W2,$M$2:$O$51,3,TRUE))</f>
        <v>0</v>
      </c>
      <c r="AD2" s="18">
        <f t="shared" ref="AD2:AD33" si="4">IF(W2-AA2&gt;Z2,W2-AA2-Z2,Z2-W2+AA2)</f>
        <v>40</v>
      </c>
      <c r="AE2" s="44">
        <f t="shared" ref="AE2:AE33" si="5">IF(AB2&lt;W2,0,IF(W2-AA2&gt;Z2,AC2*(PI()*Z2^2-Z2^2*ACOS(AD2/Z2)+AD2*SQRT(Z2^2-AD2^2)),AC2*(Z2^2*ACOS(AD2/Z2)-AD2*SQRT(Z2^2-AD2^2))))</f>
        <v>0</v>
      </c>
      <c r="AF2" s="44">
        <f>IF(Y2,0,IF(W2-AA2&gt;=Z2,AE2,VLOOKUP(W2,$M$2:$Q$51,5,1)+AE2))</f>
        <v>0</v>
      </c>
      <c r="AG2" s="32">
        <f>AF2</f>
        <v>0</v>
      </c>
      <c r="AH2" s="63">
        <f>$D$2*W2-AG2</f>
        <v>160000</v>
      </c>
      <c r="AI2" s="63">
        <f>($D$2-$D$18*2)*W2-AG2</f>
        <v>148000</v>
      </c>
    </row>
    <row r="3" spans="1:38" x14ac:dyDescent="0.15">
      <c r="A3" s="4" t="s">
        <v>65</v>
      </c>
      <c r="B3" s="7" t="s">
        <v>93</v>
      </c>
      <c r="C3" t="s">
        <v>13</v>
      </c>
      <c r="D3" s="4">
        <v>2000</v>
      </c>
      <c r="E3" t="s">
        <v>127</v>
      </c>
      <c r="G3" t="s">
        <v>118</v>
      </c>
      <c r="H3">
        <f>D3/50</f>
        <v>40</v>
      </c>
      <c r="J3" s="46">
        <v>250</v>
      </c>
      <c r="K3" s="51" t="s">
        <v>104</v>
      </c>
      <c r="L3" s="7">
        <f t="shared" si="0"/>
        <v>15.9</v>
      </c>
      <c r="M3" s="43">
        <f t="shared" si="1"/>
        <v>234.1</v>
      </c>
      <c r="N3" s="43">
        <f t="shared" si="2"/>
        <v>265.89999999999998</v>
      </c>
      <c r="O3" s="46">
        <v>17</v>
      </c>
      <c r="P3" s="7">
        <f t="shared" si="3"/>
        <v>13501.400000000001</v>
      </c>
      <c r="Q3" s="7">
        <f>IF(P3="","",Q2+P3)</f>
        <v>38121.600000000006</v>
      </c>
      <c r="R3" s="7">
        <f t="shared" ref="R3:R33" si="6">IF(L3="","",L3)</f>
        <v>15.9</v>
      </c>
      <c r="S3" s="81">
        <f t="shared" ref="S3:S51" si="7">IF(L3="","",$H$29*(P3*($D$3/2-J3)))</f>
        <v>72328928.571428582</v>
      </c>
      <c r="T3" s="7">
        <f t="shared" ref="T3:T51" si="8">IF(L3="","",$H$29*P3*(J3-$D$3/2)^2)</f>
        <v>54246696428.571442</v>
      </c>
      <c r="V3">
        <f>V2+$H$3</f>
        <v>40</v>
      </c>
      <c r="W3" s="32">
        <f>W2+$H$3</f>
        <v>80</v>
      </c>
      <c r="X3" s="36">
        <f t="shared" ref="X3:X30" si="9">(W3-W2)/2+W2</f>
        <v>60</v>
      </c>
      <c r="Y3" s="18" t="b">
        <f t="shared" ref="Y3:Y51" si="10">ISERROR(VLOOKUP(W3,$M$2:$M$51,1,TRUE))</f>
        <v>1</v>
      </c>
      <c r="Z3" s="18">
        <f t="shared" ref="Z3:Z51" si="11">IF(Y3,0,VLOOKUP(W3,$M$2:$R$51,6,1))</f>
        <v>0</v>
      </c>
      <c r="AA3" s="18">
        <f t="shared" ref="AA3:AA8" si="12">IF(Y3,0,VLOOKUP(W3,$M$2:$M$51,1,TRUE))</f>
        <v>0</v>
      </c>
      <c r="AB3" s="18">
        <f t="shared" ref="AB3:AB8" si="13">IF(Y3,0,VLOOKUP(W3,$M$2:$N$51,2,TRUE))</f>
        <v>0</v>
      </c>
      <c r="AC3" s="18">
        <f t="shared" ref="AC3:AC51" si="14">IF(Y3,0,VLOOKUP(W3,$M$2:$O$51,3,TRUE))</f>
        <v>0</v>
      </c>
      <c r="AD3" s="18">
        <f t="shared" si="4"/>
        <v>80</v>
      </c>
      <c r="AE3" s="44">
        <f t="shared" si="5"/>
        <v>0</v>
      </c>
      <c r="AF3" s="44">
        <f>IF(Y3,0,IF(W3-AA3&gt;=Z3,IF(AB3&gt;W3,AF2+AE3,VLOOKUP(W3,$M$2:$Q$51,5,1)+AE3),AF2+AE3))</f>
        <v>0</v>
      </c>
      <c r="AG3" s="32">
        <f>AF3-AF2</f>
        <v>0</v>
      </c>
      <c r="AH3" s="63">
        <f>$D$2*(W3-W2)-AG3</f>
        <v>160000</v>
      </c>
      <c r="AI3" s="63">
        <f>IF(X3&lt;$D$3-$D$18,($D$2-$D$18*2)*(W3-W2)-AG3,IF($D$3-$D$18-V3&gt;0,($D$2-$D$18*2)*($D$3-$D$18-V3)-AG3,0))</f>
        <v>148000</v>
      </c>
    </row>
    <row r="4" spans="1:38" x14ac:dyDescent="0.15">
      <c r="A4" s="8"/>
      <c r="C4"/>
      <c r="D4" s="4"/>
      <c r="E4" s="7" t="s">
        <v>138</v>
      </c>
      <c r="F4" s="8" t="s">
        <v>58</v>
      </c>
      <c r="G4" s="8" t="s">
        <v>137</v>
      </c>
      <c r="H4" s="8">
        <v>0.2</v>
      </c>
      <c r="I4" s="8"/>
      <c r="J4" s="46">
        <v>375</v>
      </c>
      <c r="K4" s="51" t="s">
        <v>104</v>
      </c>
      <c r="L4" s="7">
        <f t="shared" si="0"/>
        <v>15.9</v>
      </c>
      <c r="M4" s="43">
        <f t="shared" si="1"/>
        <v>359.1</v>
      </c>
      <c r="N4" s="43">
        <f t="shared" si="2"/>
        <v>390.9</v>
      </c>
      <c r="O4" s="46">
        <v>2</v>
      </c>
      <c r="P4" s="7">
        <f t="shared" si="3"/>
        <v>1588.4</v>
      </c>
      <c r="Q4" s="7">
        <f t="shared" ref="Q4:Q51" si="15">IF(P4="","",Q3+P4)</f>
        <v>39710.000000000007</v>
      </c>
      <c r="R4" s="7">
        <f t="shared" si="6"/>
        <v>15.9</v>
      </c>
      <c r="S4" s="81">
        <f t="shared" si="7"/>
        <v>7091071.4285714291</v>
      </c>
      <c r="T4" s="7">
        <f t="shared" si="8"/>
        <v>4431919642.8571434</v>
      </c>
      <c r="V4">
        <f>V3+$H$3</f>
        <v>80</v>
      </c>
      <c r="W4" s="32">
        <f t="shared" ref="W4:W30" si="16">W3+$H$3</f>
        <v>120</v>
      </c>
      <c r="X4" s="36">
        <f t="shared" si="9"/>
        <v>100</v>
      </c>
      <c r="Y4" s="18" t="b">
        <f t="shared" si="10"/>
        <v>1</v>
      </c>
      <c r="Z4" s="18">
        <f t="shared" si="11"/>
        <v>0</v>
      </c>
      <c r="AA4" s="18">
        <f t="shared" si="12"/>
        <v>0</v>
      </c>
      <c r="AB4" s="18">
        <f t="shared" si="13"/>
        <v>0</v>
      </c>
      <c r="AC4" s="18">
        <f t="shared" si="14"/>
        <v>0</v>
      </c>
      <c r="AD4" s="18">
        <f t="shared" si="4"/>
        <v>120</v>
      </c>
      <c r="AE4" s="44">
        <f t="shared" si="5"/>
        <v>0</v>
      </c>
      <c r="AF4" s="44">
        <f t="shared" ref="AF4:AF51" si="17">IF(Y4,0,IF(W4-AA4&gt;=Z4,IF(AB4&gt;W4,AF3+AE4,VLOOKUP(W4,$M$2:$Q$51,5,1)+AE4),AF3+AE4))</f>
        <v>0</v>
      </c>
      <c r="AG4" s="32">
        <f t="shared" ref="AG4:AG51" si="18">AF4-AF3</f>
        <v>0</v>
      </c>
      <c r="AH4" s="63">
        <f t="shared" ref="AH4:AH34" si="19">$D$2*(W4-W3)-AG4</f>
        <v>160000</v>
      </c>
      <c r="AI4" s="63">
        <f t="shared" ref="AI4:AI51" si="20">IF(X4&lt;$D$3-$D$18,($D$2-$D$18*2)*(W4-W3)-AG4,IF($D$3-$D$18-V4&gt;0,($D$2-$D$18*2)*($D$3-$D$18-V4)-AG4,0))</f>
        <v>148000</v>
      </c>
    </row>
    <row r="5" spans="1:38" x14ac:dyDescent="0.15">
      <c r="A5" t="s">
        <v>245</v>
      </c>
      <c r="E5" s="8"/>
      <c r="F5" s="8" t="s">
        <v>51</v>
      </c>
      <c r="G5" s="8" t="s">
        <v>136</v>
      </c>
      <c r="H5" s="8">
        <v>0.4</v>
      </c>
      <c r="I5" s="8"/>
      <c r="J5" s="46">
        <v>500</v>
      </c>
      <c r="K5" s="51" t="s">
        <v>104</v>
      </c>
      <c r="L5" s="7">
        <f t="shared" si="0"/>
        <v>15.9</v>
      </c>
      <c r="M5" s="43">
        <f t="shared" si="1"/>
        <v>484.1</v>
      </c>
      <c r="N5" s="43">
        <f t="shared" si="2"/>
        <v>515.9</v>
      </c>
      <c r="O5" s="46">
        <v>4</v>
      </c>
      <c r="P5" s="7">
        <f t="shared" si="3"/>
        <v>3176.8</v>
      </c>
      <c r="Q5" s="7">
        <f t="shared" si="15"/>
        <v>42886.80000000001</v>
      </c>
      <c r="R5" s="7">
        <f t="shared" si="6"/>
        <v>15.9</v>
      </c>
      <c r="S5" s="81">
        <f t="shared" si="7"/>
        <v>11345714.285714285</v>
      </c>
      <c r="T5" s="7">
        <f t="shared" si="8"/>
        <v>5672857142.8571434</v>
      </c>
      <c r="V5">
        <f t="shared" ref="V5:V30" si="21">V4+$H$3</f>
        <v>120</v>
      </c>
      <c r="W5" s="32">
        <f t="shared" si="16"/>
        <v>160</v>
      </c>
      <c r="X5" s="36">
        <f t="shared" si="9"/>
        <v>140</v>
      </c>
      <c r="Y5" s="18" t="b">
        <f t="shared" si="10"/>
        <v>0</v>
      </c>
      <c r="Z5" s="18">
        <f t="shared" si="11"/>
        <v>15.9</v>
      </c>
      <c r="AA5" s="18">
        <f t="shared" si="12"/>
        <v>134.1</v>
      </c>
      <c r="AB5" s="18">
        <f t="shared" si="13"/>
        <v>165.9</v>
      </c>
      <c r="AC5" s="18">
        <f t="shared" si="14"/>
        <v>31</v>
      </c>
      <c r="AD5" s="18">
        <f t="shared" si="4"/>
        <v>10.000000000000005</v>
      </c>
      <c r="AE5" s="44">
        <f t="shared" si="5"/>
        <v>21473.23391459187</v>
      </c>
      <c r="AF5" s="44">
        <f t="shared" si="17"/>
        <v>21473.23391459187</v>
      </c>
      <c r="AG5" s="32">
        <f t="shared" si="18"/>
        <v>21473.23391459187</v>
      </c>
      <c r="AH5" s="63">
        <f t="shared" si="19"/>
        <v>138526.76608540813</v>
      </c>
      <c r="AI5" s="63">
        <f t="shared" si="20"/>
        <v>126526.76608540813</v>
      </c>
    </row>
    <row r="6" spans="1:38" x14ac:dyDescent="0.15">
      <c r="A6" s="4" t="s">
        <v>5</v>
      </c>
      <c r="B6" s="7" t="s">
        <v>6</v>
      </c>
      <c r="C6" s="7" t="s">
        <v>9</v>
      </c>
      <c r="D6" s="10">
        <v>200000</v>
      </c>
      <c r="F6" s="4"/>
      <c r="G6" s="29"/>
      <c r="J6" s="46">
        <v>625</v>
      </c>
      <c r="K6" s="51" t="s">
        <v>104</v>
      </c>
      <c r="L6" s="7">
        <f t="shared" si="0"/>
        <v>15.9</v>
      </c>
      <c r="M6" s="43">
        <f t="shared" si="1"/>
        <v>609.1</v>
      </c>
      <c r="N6" s="43">
        <f t="shared" si="2"/>
        <v>640.9</v>
      </c>
      <c r="O6" s="46">
        <v>2</v>
      </c>
      <c r="P6" s="7">
        <f t="shared" si="3"/>
        <v>1588.4</v>
      </c>
      <c r="Q6" s="7">
        <f t="shared" si="15"/>
        <v>44475.200000000012</v>
      </c>
      <c r="R6" s="7">
        <f t="shared" si="6"/>
        <v>15.9</v>
      </c>
      <c r="S6" s="81">
        <f t="shared" si="7"/>
        <v>4254642.8571428573</v>
      </c>
      <c r="T6" s="7">
        <f t="shared" si="8"/>
        <v>1595491071.4285715</v>
      </c>
      <c r="V6">
        <f t="shared" si="21"/>
        <v>160</v>
      </c>
      <c r="W6" s="32">
        <f t="shared" si="16"/>
        <v>200</v>
      </c>
      <c r="X6" s="36">
        <f t="shared" si="9"/>
        <v>180</v>
      </c>
      <c r="Y6" s="18" t="b">
        <f t="shared" si="10"/>
        <v>0</v>
      </c>
      <c r="Z6" s="18">
        <f t="shared" si="11"/>
        <v>15.9</v>
      </c>
      <c r="AA6" s="18">
        <f t="shared" si="12"/>
        <v>134.1</v>
      </c>
      <c r="AB6" s="18">
        <f t="shared" si="13"/>
        <v>165.9</v>
      </c>
      <c r="AC6" s="18">
        <f t="shared" si="14"/>
        <v>31</v>
      </c>
      <c r="AD6" s="18">
        <f t="shared" si="4"/>
        <v>50.000000000000007</v>
      </c>
      <c r="AE6" s="44">
        <f t="shared" si="5"/>
        <v>0</v>
      </c>
      <c r="AF6" s="44">
        <f t="shared" si="17"/>
        <v>24620.2</v>
      </c>
      <c r="AG6" s="32">
        <f t="shared" si="18"/>
        <v>3146.9660854081303</v>
      </c>
      <c r="AH6" s="63">
        <f t="shared" si="19"/>
        <v>156853.03391459188</v>
      </c>
      <c r="AI6" s="63">
        <f t="shared" si="20"/>
        <v>144853.03391459188</v>
      </c>
    </row>
    <row r="7" spans="1:38" x14ac:dyDescent="0.15">
      <c r="A7" s="4" t="s">
        <v>7</v>
      </c>
      <c r="B7" s="7" t="s">
        <v>8</v>
      </c>
      <c r="C7" s="7" t="s">
        <v>10</v>
      </c>
      <c r="D7" s="4">
        <v>6533</v>
      </c>
      <c r="E7" s="7" t="s">
        <v>73</v>
      </c>
      <c r="F7" s="4"/>
      <c r="G7" s="8" t="s">
        <v>77</v>
      </c>
      <c r="H7" s="85">
        <f>24.5*D2/1000*D3/1000*D14/1000+D27</f>
        <v>8000</v>
      </c>
      <c r="J7" s="46">
        <v>750</v>
      </c>
      <c r="K7" s="51" t="s">
        <v>104</v>
      </c>
      <c r="L7" s="7">
        <f t="shared" si="0"/>
        <v>15.9</v>
      </c>
      <c r="M7" s="43">
        <f t="shared" si="1"/>
        <v>734.1</v>
      </c>
      <c r="N7" s="43">
        <f t="shared" si="2"/>
        <v>765.9</v>
      </c>
      <c r="O7" s="46">
        <v>4</v>
      </c>
      <c r="P7" s="7">
        <f t="shared" si="3"/>
        <v>3176.8</v>
      </c>
      <c r="Q7" s="7">
        <f t="shared" si="15"/>
        <v>47652.000000000015</v>
      </c>
      <c r="R7" s="7">
        <f t="shared" si="6"/>
        <v>15.9</v>
      </c>
      <c r="S7" s="81">
        <f t="shared" si="7"/>
        <v>5672857.1428571427</v>
      </c>
      <c r="T7" s="7">
        <f t="shared" si="8"/>
        <v>1418214285.7142859</v>
      </c>
      <c r="V7">
        <f t="shared" si="21"/>
        <v>200</v>
      </c>
      <c r="W7" s="32">
        <f t="shared" si="16"/>
        <v>240</v>
      </c>
      <c r="X7" s="36">
        <f t="shared" si="9"/>
        <v>220</v>
      </c>
      <c r="Y7" s="18" t="b">
        <f t="shared" si="10"/>
        <v>0</v>
      </c>
      <c r="Z7" s="18">
        <f t="shared" si="11"/>
        <v>15.9</v>
      </c>
      <c r="AA7" s="18">
        <f t="shared" si="12"/>
        <v>234.1</v>
      </c>
      <c r="AB7" s="18">
        <f t="shared" si="13"/>
        <v>265.89999999999998</v>
      </c>
      <c r="AC7" s="18">
        <f t="shared" si="14"/>
        <v>17</v>
      </c>
      <c r="AD7" s="18">
        <f t="shared" si="4"/>
        <v>10</v>
      </c>
      <c r="AE7" s="44">
        <f t="shared" si="5"/>
        <v>1726.1982540424208</v>
      </c>
      <c r="AF7" s="44">
        <f t="shared" si="17"/>
        <v>26346.398254042422</v>
      </c>
      <c r="AG7" s="32">
        <f t="shared" si="18"/>
        <v>1726.1982540424215</v>
      </c>
      <c r="AH7" s="63">
        <f t="shared" si="19"/>
        <v>158273.80174595758</v>
      </c>
      <c r="AI7" s="63">
        <f t="shared" si="20"/>
        <v>146273.80174595758</v>
      </c>
    </row>
    <row r="8" spans="1:38" x14ac:dyDescent="0.15">
      <c r="A8" s="4" t="s">
        <v>11</v>
      </c>
      <c r="B8" s="7" t="s">
        <v>12</v>
      </c>
      <c r="C8" s="7" t="s">
        <v>13</v>
      </c>
      <c r="D8" s="4">
        <v>875</v>
      </c>
      <c r="F8" s="20"/>
      <c r="G8" s="19"/>
      <c r="J8" s="46">
        <v>875</v>
      </c>
      <c r="K8" s="51" t="s">
        <v>104</v>
      </c>
      <c r="L8" s="7">
        <f t="shared" si="0"/>
        <v>15.9</v>
      </c>
      <c r="M8" s="43">
        <f t="shared" si="1"/>
        <v>859.1</v>
      </c>
      <c r="N8" s="43">
        <f t="shared" si="2"/>
        <v>890.9</v>
      </c>
      <c r="O8" s="46">
        <v>2</v>
      </c>
      <c r="P8" s="7">
        <f t="shared" si="3"/>
        <v>1588.4</v>
      </c>
      <c r="Q8" s="7">
        <f t="shared" si="15"/>
        <v>49240.400000000016</v>
      </c>
      <c r="R8" s="7">
        <f t="shared" si="6"/>
        <v>15.9</v>
      </c>
      <c r="S8" s="81">
        <f t="shared" si="7"/>
        <v>1418214.2857142857</v>
      </c>
      <c r="T8" s="7">
        <f t="shared" si="8"/>
        <v>177276785.71428573</v>
      </c>
      <c r="V8">
        <f t="shared" si="21"/>
        <v>240</v>
      </c>
      <c r="W8" s="32">
        <f t="shared" si="16"/>
        <v>280</v>
      </c>
      <c r="X8" s="36">
        <f t="shared" si="9"/>
        <v>260</v>
      </c>
      <c r="Y8" s="18" t="b">
        <f t="shared" si="10"/>
        <v>0</v>
      </c>
      <c r="Z8" s="18">
        <f t="shared" si="11"/>
        <v>15.9</v>
      </c>
      <c r="AA8" s="18">
        <f t="shared" si="12"/>
        <v>234.1</v>
      </c>
      <c r="AB8" s="18">
        <f t="shared" si="13"/>
        <v>265.89999999999998</v>
      </c>
      <c r="AC8" s="18">
        <f t="shared" si="14"/>
        <v>17</v>
      </c>
      <c r="AD8" s="18">
        <f t="shared" si="4"/>
        <v>30.000000000000007</v>
      </c>
      <c r="AE8" s="44">
        <f t="shared" si="5"/>
        <v>0</v>
      </c>
      <c r="AF8" s="44">
        <f t="shared" si="17"/>
        <v>38121.600000000006</v>
      </c>
      <c r="AG8" s="32">
        <f t="shared" si="18"/>
        <v>11775.201745957584</v>
      </c>
      <c r="AH8" s="63">
        <f t="shared" si="19"/>
        <v>148224.79825404243</v>
      </c>
      <c r="AI8" s="63">
        <f t="shared" si="20"/>
        <v>136224.79825404243</v>
      </c>
    </row>
    <row r="9" spans="1:38" x14ac:dyDescent="0.15">
      <c r="A9" s="4" t="s">
        <v>14</v>
      </c>
      <c r="B9" s="7" t="s">
        <v>15</v>
      </c>
      <c r="C9" s="7" t="s">
        <v>16</v>
      </c>
      <c r="D9" s="4">
        <v>12</v>
      </c>
      <c r="E9" t="s">
        <v>20</v>
      </c>
      <c r="F9" s="7" t="s">
        <v>21</v>
      </c>
      <c r="G9" s="7" t="s">
        <v>22</v>
      </c>
      <c r="H9" s="1">
        <f>384*D6*D7/D9/D8^3/D10</f>
        <v>0.41608035762876577</v>
      </c>
      <c r="I9" s="12"/>
      <c r="J9" s="47">
        <v>1000</v>
      </c>
      <c r="K9" s="52" t="s">
        <v>104</v>
      </c>
      <c r="L9" s="7">
        <f t="shared" si="0"/>
        <v>15.9</v>
      </c>
      <c r="M9" s="43">
        <f t="shared" si="1"/>
        <v>984.1</v>
      </c>
      <c r="N9" s="43">
        <f t="shared" si="2"/>
        <v>1015.9</v>
      </c>
      <c r="O9" s="47">
        <v>4</v>
      </c>
      <c r="P9" s="7">
        <f t="shared" si="3"/>
        <v>3176.8</v>
      </c>
      <c r="Q9" s="7">
        <f t="shared" si="15"/>
        <v>52417.200000000019</v>
      </c>
      <c r="R9" s="7">
        <f t="shared" si="6"/>
        <v>15.9</v>
      </c>
      <c r="S9" s="81">
        <f t="shared" si="7"/>
        <v>0</v>
      </c>
      <c r="T9" s="7">
        <f t="shared" si="8"/>
        <v>0</v>
      </c>
      <c r="V9">
        <f t="shared" si="21"/>
        <v>280</v>
      </c>
      <c r="W9" s="32">
        <f t="shared" si="16"/>
        <v>320</v>
      </c>
      <c r="X9" s="36">
        <f t="shared" si="9"/>
        <v>300</v>
      </c>
      <c r="Y9" s="18" t="b">
        <f t="shared" si="10"/>
        <v>0</v>
      </c>
      <c r="Z9" s="18">
        <f t="shared" si="11"/>
        <v>15.9</v>
      </c>
      <c r="AA9" s="18">
        <f t="shared" ref="AA9:AA51" si="22">IF(Y9,0,VLOOKUP(W9,$M$2:$M$51,1,TRUE))</f>
        <v>234.1</v>
      </c>
      <c r="AB9" s="18">
        <f t="shared" ref="AB9:AB51" si="23">IF(Y9,0,VLOOKUP(W9,$M$2:$N$51,2,TRUE))</f>
        <v>265.89999999999998</v>
      </c>
      <c r="AC9" s="18">
        <f t="shared" si="14"/>
        <v>17</v>
      </c>
      <c r="AD9" s="18">
        <f t="shared" si="4"/>
        <v>70</v>
      </c>
      <c r="AE9" s="44">
        <f t="shared" si="5"/>
        <v>0</v>
      </c>
      <c r="AF9" s="44">
        <f t="shared" si="17"/>
        <v>38121.600000000006</v>
      </c>
      <c r="AG9" s="32">
        <f t="shared" si="18"/>
        <v>0</v>
      </c>
      <c r="AH9" s="63">
        <f t="shared" si="19"/>
        <v>160000</v>
      </c>
      <c r="AI9" s="63">
        <f t="shared" si="20"/>
        <v>148000</v>
      </c>
    </row>
    <row r="10" spans="1:38" x14ac:dyDescent="0.15">
      <c r="A10" s="4" t="s">
        <v>17</v>
      </c>
      <c r="B10" s="7" t="s">
        <v>18</v>
      </c>
      <c r="C10" s="7" t="s">
        <v>19</v>
      </c>
      <c r="D10" s="4">
        <v>150</v>
      </c>
      <c r="E10" t="s">
        <v>25</v>
      </c>
      <c r="F10" s="7" t="s">
        <v>26</v>
      </c>
      <c r="G10" s="7" t="s">
        <v>27</v>
      </c>
      <c r="H10">
        <f>0.01*D11</f>
        <v>1.34</v>
      </c>
      <c r="I10" s="1"/>
      <c r="J10" s="46">
        <v>1125</v>
      </c>
      <c r="K10" s="53" t="s">
        <v>104</v>
      </c>
      <c r="L10" s="7">
        <f t="shared" si="0"/>
        <v>15.9</v>
      </c>
      <c r="M10" s="43">
        <f t="shared" si="1"/>
        <v>1109.0999999999999</v>
      </c>
      <c r="N10" s="43">
        <f t="shared" si="2"/>
        <v>1140.9000000000001</v>
      </c>
      <c r="O10" s="46">
        <v>2</v>
      </c>
      <c r="P10" s="7">
        <f t="shared" si="3"/>
        <v>1588.4</v>
      </c>
      <c r="Q10" s="7">
        <f t="shared" si="15"/>
        <v>54005.60000000002</v>
      </c>
      <c r="R10" s="7">
        <f t="shared" si="6"/>
        <v>15.9</v>
      </c>
      <c r="S10" s="81">
        <f t="shared" si="7"/>
        <v>-1418214.2857142857</v>
      </c>
      <c r="T10" s="7">
        <f t="shared" si="8"/>
        <v>177276785.71428573</v>
      </c>
      <c r="V10">
        <f t="shared" si="21"/>
        <v>320</v>
      </c>
      <c r="W10" s="32">
        <f t="shared" si="16"/>
        <v>360</v>
      </c>
      <c r="X10" s="36">
        <f t="shared" si="9"/>
        <v>340</v>
      </c>
      <c r="Y10" s="18" t="b">
        <f t="shared" si="10"/>
        <v>0</v>
      </c>
      <c r="Z10" s="18">
        <f t="shared" si="11"/>
        <v>15.9</v>
      </c>
      <c r="AA10" s="18">
        <f t="shared" si="22"/>
        <v>359.1</v>
      </c>
      <c r="AB10" s="18">
        <f t="shared" si="23"/>
        <v>390.9</v>
      </c>
      <c r="AC10" s="18">
        <f t="shared" si="14"/>
        <v>2</v>
      </c>
      <c r="AD10" s="18">
        <f t="shared" si="4"/>
        <v>15</v>
      </c>
      <c r="AE10" s="44">
        <f t="shared" si="5"/>
        <v>12.729868032886742</v>
      </c>
      <c r="AF10" s="44">
        <f t="shared" si="17"/>
        <v>38134.329868032895</v>
      </c>
      <c r="AG10" s="32">
        <f t="shared" si="18"/>
        <v>12.729868032889499</v>
      </c>
      <c r="AH10" s="63">
        <f t="shared" si="19"/>
        <v>159987.27013196712</v>
      </c>
      <c r="AI10" s="63">
        <f t="shared" si="20"/>
        <v>147987.27013196712</v>
      </c>
    </row>
    <row r="11" spans="1:38" x14ac:dyDescent="0.15">
      <c r="A11" s="4" t="s">
        <v>23</v>
      </c>
      <c r="B11" s="7" t="s">
        <v>24</v>
      </c>
      <c r="C11" s="7" t="s">
        <v>19</v>
      </c>
      <c r="D11" s="5">
        <v>134</v>
      </c>
      <c r="E11" t="s">
        <v>28</v>
      </c>
      <c r="F11" s="7" t="s">
        <v>29</v>
      </c>
      <c r="G11" s="7" t="s">
        <v>27</v>
      </c>
      <c r="H11" s="1">
        <f>H9+H10</f>
        <v>1.7560803576287658</v>
      </c>
      <c r="J11" s="46">
        <v>1250</v>
      </c>
      <c r="K11" s="51" t="s">
        <v>104</v>
      </c>
      <c r="L11" s="7">
        <f t="shared" si="0"/>
        <v>15.9</v>
      </c>
      <c r="M11" s="43">
        <f t="shared" si="1"/>
        <v>1234.0999999999999</v>
      </c>
      <c r="N11" s="43">
        <f t="shared" si="2"/>
        <v>1265.9000000000001</v>
      </c>
      <c r="O11" s="46">
        <v>4</v>
      </c>
      <c r="P11" s="7">
        <f t="shared" si="3"/>
        <v>3176.8</v>
      </c>
      <c r="Q11" s="7">
        <f t="shared" si="15"/>
        <v>57182.400000000023</v>
      </c>
      <c r="R11" s="7">
        <f t="shared" si="6"/>
        <v>15.9</v>
      </c>
      <c r="S11" s="81">
        <f t="shared" si="7"/>
        <v>-5672857.1428571427</v>
      </c>
      <c r="T11" s="7">
        <f t="shared" si="8"/>
        <v>1418214285.7142859</v>
      </c>
      <c r="V11">
        <f t="shared" si="21"/>
        <v>360</v>
      </c>
      <c r="W11" s="32">
        <f t="shared" si="16"/>
        <v>400</v>
      </c>
      <c r="X11" s="36">
        <f t="shared" si="9"/>
        <v>380</v>
      </c>
      <c r="Y11" s="18" t="b">
        <f t="shared" si="10"/>
        <v>0</v>
      </c>
      <c r="Z11" s="18">
        <f t="shared" si="11"/>
        <v>15.9</v>
      </c>
      <c r="AA11" s="18">
        <f t="shared" si="22"/>
        <v>359.1</v>
      </c>
      <c r="AB11" s="18">
        <f t="shared" si="23"/>
        <v>390.9</v>
      </c>
      <c r="AC11" s="18">
        <f t="shared" si="14"/>
        <v>2</v>
      </c>
      <c r="AD11" s="18">
        <f t="shared" si="4"/>
        <v>24.999999999999979</v>
      </c>
      <c r="AE11" s="44">
        <f t="shared" si="5"/>
        <v>0</v>
      </c>
      <c r="AF11" s="44">
        <f t="shared" si="17"/>
        <v>39710.000000000007</v>
      </c>
      <c r="AG11" s="32">
        <f t="shared" si="18"/>
        <v>1575.670131967112</v>
      </c>
      <c r="AH11" s="63">
        <f t="shared" si="19"/>
        <v>158424.32986803289</v>
      </c>
      <c r="AI11" s="63">
        <f t="shared" si="20"/>
        <v>146424.32986803289</v>
      </c>
    </row>
    <row r="12" spans="1:38" x14ac:dyDescent="0.15">
      <c r="A12" s="4" t="s">
        <v>35</v>
      </c>
      <c r="B12" s="7" t="s">
        <v>2</v>
      </c>
      <c r="C12" s="7" t="s">
        <v>27</v>
      </c>
      <c r="D12" s="5">
        <v>345</v>
      </c>
      <c r="E12" t="s">
        <v>41</v>
      </c>
      <c r="F12" s="7" t="s">
        <v>30</v>
      </c>
      <c r="G12" s="7" t="s">
        <v>19</v>
      </c>
      <c r="H12">
        <f>MIN(D13,40)</f>
        <v>31.8</v>
      </c>
      <c r="I12" s="1"/>
      <c r="J12" s="46">
        <v>1375</v>
      </c>
      <c r="K12" s="53" t="s">
        <v>104</v>
      </c>
      <c r="L12" s="7">
        <f t="shared" si="0"/>
        <v>15.9</v>
      </c>
      <c r="M12" s="43">
        <f t="shared" si="1"/>
        <v>1359.1</v>
      </c>
      <c r="N12" s="43">
        <f t="shared" si="2"/>
        <v>1390.9</v>
      </c>
      <c r="O12" s="46">
        <v>2</v>
      </c>
      <c r="P12" s="7">
        <f t="shared" si="3"/>
        <v>1588.4</v>
      </c>
      <c r="Q12" s="7">
        <f t="shared" si="15"/>
        <v>58770.800000000025</v>
      </c>
      <c r="R12" s="7">
        <f t="shared" si="6"/>
        <v>15.9</v>
      </c>
      <c r="S12" s="81">
        <f t="shared" si="7"/>
        <v>-4254642.8571428573</v>
      </c>
      <c r="T12" s="7">
        <f t="shared" si="8"/>
        <v>1595491071.4285715</v>
      </c>
      <c r="V12">
        <f t="shared" si="21"/>
        <v>400</v>
      </c>
      <c r="W12" s="32">
        <f t="shared" si="16"/>
        <v>440</v>
      </c>
      <c r="X12" s="36">
        <f t="shared" si="9"/>
        <v>420</v>
      </c>
      <c r="Y12" s="18" t="b">
        <f t="shared" si="10"/>
        <v>0</v>
      </c>
      <c r="Z12" s="18">
        <f t="shared" si="11"/>
        <v>15.9</v>
      </c>
      <c r="AA12" s="18">
        <f t="shared" si="22"/>
        <v>359.1</v>
      </c>
      <c r="AB12" s="18">
        <f t="shared" si="23"/>
        <v>390.9</v>
      </c>
      <c r="AC12" s="18">
        <f t="shared" si="14"/>
        <v>2</v>
      </c>
      <c r="AD12" s="18">
        <f t="shared" si="4"/>
        <v>64.999999999999972</v>
      </c>
      <c r="AE12" s="44">
        <f t="shared" si="5"/>
        <v>0</v>
      </c>
      <c r="AF12" s="44">
        <f t="shared" si="17"/>
        <v>39710.000000000007</v>
      </c>
      <c r="AG12" s="32">
        <f t="shared" si="18"/>
        <v>0</v>
      </c>
      <c r="AH12" s="63">
        <f t="shared" si="19"/>
        <v>160000</v>
      </c>
      <c r="AI12" s="63">
        <f t="shared" si="20"/>
        <v>148000</v>
      </c>
    </row>
    <row r="13" spans="1:38" x14ac:dyDescent="0.15">
      <c r="A13" s="5" t="s">
        <v>36</v>
      </c>
      <c r="B13" s="7" t="s">
        <v>39</v>
      </c>
      <c r="C13" s="7" t="s">
        <v>40</v>
      </c>
      <c r="D13" s="5">
        <v>31.8</v>
      </c>
      <c r="E13" t="s">
        <v>38</v>
      </c>
      <c r="F13" s="7" t="s">
        <v>32</v>
      </c>
      <c r="G13" s="7"/>
      <c r="H13">
        <f>0.15*D14</f>
        <v>1500</v>
      </c>
      <c r="J13" s="46">
        <v>1500</v>
      </c>
      <c r="K13" s="51" t="s">
        <v>104</v>
      </c>
      <c r="L13" s="7">
        <f t="shared" si="0"/>
        <v>15.9</v>
      </c>
      <c r="M13" s="43">
        <f t="shared" si="1"/>
        <v>1484.1</v>
      </c>
      <c r="N13" s="43">
        <f t="shared" si="2"/>
        <v>1515.9</v>
      </c>
      <c r="O13" s="46">
        <v>4</v>
      </c>
      <c r="P13" s="7">
        <f t="shared" si="3"/>
        <v>3176.8</v>
      </c>
      <c r="Q13" s="7">
        <f t="shared" si="15"/>
        <v>61947.600000000028</v>
      </c>
      <c r="R13" s="7">
        <f t="shared" si="6"/>
        <v>15.9</v>
      </c>
      <c r="S13" s="81">
        <f t="shared" si="7"/>
        <v>-11345714.285714285</v>
      </c>
      <c r="T13" s="7">
        <f t="shared" si="8"/>
        <v>5672857142.8571434</v>
      </c>
      <c r="V13">
        <f t="shared" si="21"/>
        <v>440</v>
      </c>
      <c r="W13" s="32">
        <f t="shared" si="16"/>
        <v>480</v>
      </c>
      <c r="X13" s="36">
        <f t="shared" si="9"/>
        <v>460</v>
      </c>
      <c r="Y13" s="18" t="b">
        <f t="shared" si="10"/>
        <v>0</v>
      </c>
      <c r="Z13" s="18">
        <f t="shared" si="11"/>
        <v>15.9</v>
      </c>
      <c r="AA13" s="18">
        <f t="shared" si="22"/>
        <v>359.1</v>
      </c>
      <c r="AB13" s="18">
        <f t="shared" si="23"/>
        <v>390.9</v>
      </c>
      <c r="AC13" s="18">
        <f t="shared" si="14"/>
        <v>2</v>
      </c>
      <c r="AD13" s="18">
        <f t="shared" si="4"/>
        <v>104.99999999999997</v>
      </c>
      <c r="AE13" s="44">
        <f t="shared" si="5"/>
        <v>0</v>
      </c>
      <c r="AF13" s="44">
        <f t="shared" si="17"/>
        <v>39710.000000000007</v>
      </c>
      <c r="AG13" s="32">
        <f t="shared" si="18"/>
        <v>0</v>
      </c>
      <c r="AH13" s="63">
        <f t="shared" si="19"/>
        <v>160000</v>
      </c>
      <c r="AI13" s="63">
        <f t="shared" si="20"/>
        <v>148000</v>
      </c>
    </row>
    <row r="14" spans="1:38" x14ac:dyDescent="0.15">
      <c r="A14" s="4" t="s">
        <v>37</v>
      </c>
      <c r="B14" s="7" t="s">
        <v>31</v>
      </c>
      <c r="C14" s="7" t="s">
        <v>19</v>
      </c>
      <c r="D14" s="5">
        <v>10000</v>
      </c>
      <c r="E14" t="s">
        <v>33</v>
      </c>
      <c r="F14" s="7" t="s">
        <v>34</v>
      </c>
      <c r="G14" s="7" t="s">
        <v>19</v>
      </c>
      <c r="H14" s="64">
        <f>MIN(ROUND(9.5*D12^(1/6)*H11^(-1/3)*H12,0),H13)</f>
        <v>663</v>
      </c>
      <c r="J14" s="46">
        <v>1625</v>
      </c>
      <c r="K14" s="51" t="s">
        <v>104</v>
      </c>
      <c r="L14" s="7">
        <f t="shared" si="0"/>
        <v>15.9</v>
      </c>
      <c r="M14" s="43">
        <f t="shared" si="1"/>
        <v>1609.1</v>
      </c>
      <c r="N14" s="43">
        <f t="shared" si="2"/>
        <v>1640.9</v>
      </c>
      <c r="O14" s="46">
        <v>2</v>
      </c>
      <c r="P14" s="7">
        <f t="shared" si="3"/>
        <v>1588.4</v>
      </c>
      <c r="Q14" s="7">
        <f t="shared" si="15"/>
        <v>63536.000000000029</v>
      </c>
      <c r="R14" s="7">
        <f t="shared" si="6"/>
        <v>15.9</v>
      </c>
      <c r="S14" s="81">
        <f t="shared" si="7"/>
        <v>-7091071.4285714291</v>
      </c>
      <c r="T14" s="7">
        <f t="shared" si="8"/>
        <v>4431919642.8571434</v>
      </c>
      <c r="V14">
        <f t="shared" si="21"/>
        <v>480</v>
      </c>
      <c r="W14" s="32">
        <f t="shared" si="16"/>
        <v>520</v>
      </c>
      <c r="X14" s="36">
        <f t="shared" si="9"/>
        <v>500</v>
      </c>
      <c r="Y14" s="18" t="b">
        <f t="shared" si="10"/>
        <v>0</v>
      </c>
      <c r="Z14" s="18">
        <f t="shared" si="11"/>
        <v>15.9</v>
      </c>
      <c r="AA14" s="18">
        <f t="shared" si="22"/>
        <v>484.1</v>
      </c>
      <c r="AB14" s="18">
        <f t="shared" si="23"/>
        <v>515.9</v>
      </c>
      <c r="AC14" s="18">
        <f t="shared" si="14"/>
        <v>4</v>
      </c>
      <c r="AD14" s="18">
        <f t="shared" si="4"/>
        <v>19.999999999999979</v>
      </c>
      <c r="AE14" s="44">
        <f t="shared" si="5"/>
        <v>0</v>
      </c>
      <c r="AF14" s="44">
        <f t="shared" si="17"/>
        <v>42886.80000000001</v>
      </c>
      <c r="AG14" s="32">
        <f t="shared" si="18"/>
        <v>3176.8000000000029</v>
      </c>
      <c r="AH14" s="63">
        <f t="shared" si="19"/>
        <v>156823.20000000001</v>
      </c>
      <c r="AI14" s="63">
        <f t="shared" si="20"/>
        <v>144823.20000000001</v>
      </c>
    </row>
    <row r="15" spans="1:38" x14ac:dyDescent="0.15">
      <c r="G15" s="7"/>
      <c r="J15" s="46">
        <v>1750</v>
      </c>
      <c r="K15" s="51" t="s">
        <v>104</v>
      </c>
      <c r="L15" s="7">
        <f t="shared" si="0"/>
        <v>15.9</v>
      </c>
      <c r="M15" s="43">
        <f t="shared" si="1"/>
        <v>1734.1</v>
      </c>
      <c r="N15" s="43">
        <f t="shared" si="2"/>
        <v>1765.9</v>
      </c>
      <c r="O15" s="46">
        <v>17</v>
      </c>
      <c r="P15" s="7">
        <f t="shared" si="3"/>
        <v>13501.400000000001</v>
      </c>
      <c r="Q15" s="7">
        <f t="shared" si="15"/>
        <v>77037.400000000023</v>
      </c>
      <c r="R15" s="7">
        <f t="shared" si="6"/>
        <v>15.9</v>
      </c>
      <c r="S15" s="81">
        <f t="shared" si="7"/>
        <v>-72328928.571428582</v>
      </c>
      <c r="T15" s="7">
        <f t="shared" si="8"/>
        <v>54246696428.571442</v>
      </c>
      <c r="V15">
        <f t="shared" si="21"/>
        <v>520</v>
      </c>
      <c r="W15" s="32">
        <f t="shared" si="16"/>
        <v>560</v>
      </c>
      <c r="X15" s="36">
        <f t="shared" si="9"/>
        <v>540</v>
      </c>
      <c r="Y15" s="18" t="b">
        <f t="shared" si="10"/>
        <v>0</v>
      </c>
      <c r="Z15" s="18">
        <f t="shared" si="11"/>
        <v>15.9</v>
      </c>
      <c r="AA15" s="18">
        <f t="shared" si="22"/>
        <v>484.1</v>
      </c>
      <c r="AB15" s="18">
        <f t="shared" si="23"/>
        <v>515.9</v>
      </c>
      <c r="AC15" s="18">
        <f t="shared" si="14"/>
        <v>4</v>
      </c>
      <c r="AD15" s="18">
        <f t="shared" si="4"/>
        <v>59.999999999999979</v>
      </c>
      <c r="AE15" s="44">
        <f t="shared" si="5"/>
        <v>0</v>
      </c>
      <c r="AF15" s="44">
        <f t="shared" si="17"/>
        <v>42886.80000000001</v>
      </c>
      <c r="AG15" s="32">
        <f t="shared" si="18"/>
        <v>0</v>
      </c>
      <c r="AH15" s="63">
        <f t="shared" si="19"/>
        <v>160000</v>
      </c>
      <c r="AI15" s="63">
        <f t="shared" si="20"/>
        <v>148000</v>
      </c>
    </row>
    <row r="16" spans="1:38" ht="14.25" thickBot="1" x14ac:dyDescent="0.2">
      <c r="A16" t="s">
        <v>246</v>
      </c>
      <c r="F16" s="11"/>
      <c r="G16" s="30"/>
      <c r="H16" s="11"/>
      <c r="I16" s="11"/>
      <c r="J16" s="46">
        <v>1850</v>
      </c>
      <c r="K16" s="51" t="s">
        <v>104</v>
      </c>
      <c r="L16" s="7">
        <f t="shared" si="0"/>
        <v>15.9</v>
      </c>
      <c r="M16" s="43">
        <f t="shared" si="1"/>
        <v>1834.1</v>
      </c>
      <c r="N16" s="43">
        <f t="shared" si="2"/>
        <v>1865.9</v>
      </c>
      <c r="O16" s="46">
        <v>31</v>
      </c>
      <c r="P16" s="7">
        <f t="shared" si="3"/>
        <v>24620.2</v>
      </c>
      <c r="Q16" s="7">
        <f>IF(P16="","",Q15+P16)</f>
        <v>101657.60000000002</v>
      </c>
      <c r="R16" s="7">
        <f t="shared" si="6"/>
        <v>15.9</v>
      </c>
      <c r="S16" s="81">
        <f t="shared" si="7"/>
        <v>-149479785.71428573</v>
      </c>
      <c r="T16" s="7">
        <f t="shared" si="8"/>
        <v>127057817857.14287</v>
      </c>
      <c r="V16">
        <f t="shared" si="21"/>
        <v>560</v>
      </c>
      <c r="W16" s="32">
        <f t="shared" si="16"/>
        <v>600</v>
      </c>
      <c r="X16" s="36">
        <f t="shared" si="9"/>
        <v>580</v>
      </c>
      <c r="Y16" s="18" t="b">
        <f t="shared" si="10"/>
        <v>0</v>
      </c>
      <c r="Z16" s="18">
        <f t="shared" si="11"/>
        <v>15.9</v>
      </c>
      <c r="AA16" s="18">
        <f t="shared" si="22"/>
        <v>484.1</v>
      </c>
      <c r="AB16" s="18">
        <f t="shared" si="23"/>
        <v>515.9</v>
      </c>
      <c r="AC16" s="18">
        <f t="shared" si="14"/>
        <v>4</v>
      </c>
      <c r="AD16" s="18">
        <f t="shared" si="4"/>
        <v>99.999999999999972</v>
      </c>
      <c r="AE16" s="44">
        <f t="shared" si="5"/>
        <v>0</v>
      </c>
      <c r="AF16" s="44">
        <f t="shared" si="17"/>
        <v>42886.80000000001</v>
      </c>
      <c r="AG16" s="32">
        <f t="shared" si="18"/>
        <v>0</v>
      </c>
      <c r="AH16" s="63">
        <f t="shared" si="19"/>
        <v>160000</v>
      </c>
      <c r="AI16" s="63">
        <f t="shared" si="20"/>
        <v>148000</v>
      </c>
    </row>
    <row r="17" spans="1:35" ht="14.25" thickBot="1" x14ac:dyDescent="0.2">
      <c r="A17" s="4" t="s">
        <v>69</v>
      </c>
      <c r="B17" s="7" t="s">
        <v>4</v>
      </c>
      <c r="C17" s="7" t="s">
        <v>22</v>
      </c>
      <c r="D17" s="10">
        <v>200000</v>
      </c>
      <c r="E17" t="s">
        <v>114</v>
      </c>
      <c r="F17" s="7" t="s">
        <v>42</v>
      </c>
      <c r="G17" s="7"/>
      <c r="H17" s="14">
        <f>0.025*H14^0.15*D13^(-0.15)*H9^0.2*H10^0.22</f>
        <v>3.5285921887271275E-2</v>
      </c>
      <c r="I17" s="39"/>
      <c r="J17" s="48"/>
      <c r="K17" s="54"/>
      <c r="L17" s="7" t="str">
        <f t="shared" si="0"/>
        <v/>
      </c>
      <c r="M17" s="43" t="str">
        <f t="shared" si="1"/>
        <v/>
      </c>
      <c r="N17" s="43" t="str">
        <f t="shared" si="2"/>
        <v/>
      </c>
      <c r="O17" s="48"/>
      <c r="P17" s="7" t="str">
        <f t="shared" si="3"/>
        <v/>
      </c>
      <c r="Q17" s="7" t="str">
        <f t="shared" si="15"/>
        <v/>
      </c>
      <c r="R17" s="7" t="str">
        <f t="shared" si="6"/>
        <v/>
      </c>
      <c r="S17" s="7" t="str">
        <f t="shared" si="7"/>
        <v/>
      </c>
      <c r="T17" s="7" t="str">
        <f t="shared" si="8"/>
        <v/>
      </c>
      <c r="V17">
        <f t="shared" si="21"/>
        <v>600</v>
      </c>
      <c r="W17" s="32">
        <f t="shared" si="16"/>
        <v>640</v>
      </c>
      <c r="X17" s="36">
        <f t="shared" si="9"/>
        <v>620</v>
      </c>
      <c r="Y17" s="18" t="b">
        <f t="shared" si="10"/>
        <v>0</v>
      </c>
      <c r="Z17" s="18">
        <f t="shared" si="11"/>
        <v>15.9</v>
      </c>
      <c r="AA17" s="18">
        <f t="shared" si="22"/>
        <v>609.1</v>
      </c>
      <c r="AB17" s="18">
        <f t="shared" si="23"/>
        <v>640.9</v>
      </c>
      <c r="AC17" s="18">
        <f t="shared" si="14"/>
        <v>2</v>
      </c>
      <c r="AD17" s="18">
        <f t="shared" si="4"/>
        <v>14.999999999999977</v>
      </c>
      <c r="AE17" s="44">
        <f t="shared" si="5"/>
        <v>1575.7222094751839</v>
      </c>
      <c r="AF17" s="44">
        <f t="shared" si="17"/>
        <v>44462.522209475195</v>
      </c>
      <c r="AG17" s="32">
        <f t="shared" si="18"/>
        <v>1575.7222094751851</v>
      </c>
      <c r="AH17" s="63">
        <f t="shared" si="19"/>
        <v>158424.27779052482</v>
      </c>
      <c r="AI17" s="63">
        <f t="shared" si="20"/>
        <v>146424.27779052482</v>
      </c>
    </row>
    <row r="18" spans="1:35" ht="14.25" thickBot="1" x14ac:dyDescent="0.2">
      <c r="A18" s="4" t="s">
        <v>120</v>
      </c>
      <c r="B18" s="7" t="s">
        <v>121</v>
      </c>
      <c r="C18" s="7" t="s">
        <v>118</v>
      </c>
      <c r="D18" s="4">
        <v>150</v>
      </c>
      <c r="E18" t="s">
        <v>115</v>
      </c>
      <c r="F18" s="7" t="s">
        <v>43</v>
      </c>
      <c r="G18" s="7"/>
      <c r="H18" s="14">
        <f>0.035*H14^0.15*D13^(-0.15)*H9^0.2*H10^0.22</f>
        <v>4.9400290642179788E-2</v>
      </c>
      <c r="I18" s="39"/>
      <c r="J18" s="48"/>
      <c r="K18" s="54"/>
      <c r="L18" s="7" t="str">
        <f t="shared" si="0"/>
        <v/>
      </c>
      <c r="M18" s="43" t="str">
        <f t="shared" si="1"/>
        <v/>
      </c>
      <c r="N18" s="43" t="str">
        <f t="shared" si="2"/>
        <v/>
      </c>
      <c r="O18" s="48"/>
      <c r="P18" s="7" t="str">
        <f t="shared" si="3"/>
        <v/>
      </c>
      <c r="Q18" s="7" t="str">
        <f t="shared" si="15"/>
        <v/>
      </c>
      <c r="R18" s="7" t="str">
        <f t="shared" si="6"/>
        <v/>
      </c>
      <c r="S18" s="7" t="str">
        <f t="shared" si="7"/>
        <v/>
      </c>
      <c r="T18" s="7" t="str">
        <f t="shared" si="8"/>
        <v/>
      </c>
      <c r="V18">
        <f t="shared" si="21"/>
        <v>640</v>
      </c>
      <c r="W18" s="32">
        <f t="shared" si="16"/>
        <v>680</v>
      </c>
      <c r="X18" s="36">
        <f t="shared" si="9"/>
        <v>660</v>
      </c>
      <c r="Y18" s="18" t="b">
        <f t="shared" si="10"/>
        <v>0</v>
      </c>
      <c r="Z18" s="18">
        <f t="shared" si="11"/>
        <v>15.9</v>
      </c>
      <c r="AA18" s="18">
        <f t="shared" si="22"/>
        <v>609.1</v>
      </c>
      <c r="AB18" s="18">
        <f t="shared" si="23"/>
        <v>640.9</v>
      </c>
      <c r="AC18" s="18">
        <f t="shared" si="14"/>
        <v>2</v>
      </c>
      <c r="AD18" s="18">
        <f t="shared" si="4"/>
        <v>54.999999999999979</v>
      </c>
      <c r="AE18" s="44">
        <f t="shared" si="5"/>
        <v>0</v>
      </c>
      <c r="AF18" s="44">
        <f t="shared" si="17"/>
        <v>44475.200000000012</v>
      </c>
      <c r="AG18" s="32">
        <f t="shared" si="18"/>
        <v>12.677790524816373</v>
      </c>
      <c r="AH18" s="63">
        <f t="shared" si="19"/>
        <v>159987.32220947518</v>
      </c>
      <c r="AI18" s="63">
        <f t="shared" si="20"/>
        <v>147987.32220947518</v>
      </c>
    </row>
    <row r="19" spans="1:35" ht="14.25" thickBot="1" x14ac:dyDescent="0.2">
      <c r="E19" s="7" t="s">
        <v>70</v>
      </c>
      <c r="F19" s="7" t="s">
        <v>71</v>
      </c>
      <c r="G19" s="7"/>
      <c r="H19" s="15">
        <f>D12/D17</f>
        <v>1.725E-3</v>
      </c>
      <c r="I19" s="40"/>
      <c r="J19" s="49"/>
      <c r="K19" s="55"/>
      <c r="L19" s="7" t="str">
        <f t="shared" si="0"/>
        <v/>
      </c>
      <c r="M19" s="43" t="str">
        <f t="shared" si="1"/>
        <v/>
      </c>
      <c r="N19" s="43" t="str">
        <f t="shared" si="2"/>
        <v/>
      </c>
      <c r="O19" s="49"/>
      <c r="P19" s="7" t="str">
        <f t="shared" si="3"/>
        <v/>
      </c>
      <c r="Q19" s="7" t="str">
        <f t="shared" si="15"/>
        <v/>
      </c>
      <c r="R19" s="7" t="str">
        <f t="shared" si="6"/>
        <v/>
      </c>
      <c r="S19" s="7" t="str">
        <f t="shared" si="7"/>
        <v/>
      </c>
      <c r="T19" s="7" t="str">
        <f t="shared" si="8"/>
        <v/>
      </c>
      <c r="V19">
        <f t="shared" si="21"/>
        <v>680</v>
      </c>
      <c r="W19" s="32">
        <f t="shared" si="16"/>
        <v>720</v>
      </c>
      <c r="X19" s="36">
        <f t="shared" si="9"/>
        <v>700</v>
      </c>
      <c r="Y19" s="18" t="b">
        <f t="shared" si="10"/>
        <v>0</v>
      </c>
      <c r="Z19" s="18">
        <f t="shared" si="11"/>
        <v>15.9</v>
      </c>
      <c r="AA19" s="18">
        <f t="shared" si="22"/>
        <v>609.1</v>
      </c>
      <c r="AB19" s="18">
        <f t="shared" si="23"/>
        <v>640.9</v>
      </c>
      <c r="AC19" s="18">
        <f t="shared" si="14"/>
        <v>2</v>
      </c>
      <c r="AD19" s="18">
        <f t="shared" si="4"/>
        <v>94.999999999999972</v>
      </c>
      <c r="AE19" s="44">
        <f t="shared" si="5"/>
        <v>0</v>
      </c>
      <c r="AF19" s="44">
        <f t="shared" si="17"/>
        <v>44475.200000000012</v>
      </c>
      <c r="AG19" s="32">
        <f t="shared" si="18"/>
        <v>0</v>
      </c>
      <c r="AH19" s="63">
        <f t="shared" si="19"/>
        <v>160000</v>
      </c>
      <c r="AI19" s="63">
        <f t="shared" si="20"/>
        <v>148000</v>
      </c>
    </row>
    <row r="20" spans="1:35" x14ac:dyDescent="0.15">
      <c r="A20" t="s">
        <v>247</v>
      </c>
      <c r="L20" s="7" t="str">
        <f t="shared" si="0"/>
        <v/>
      </c>
      <c r="M20" s="43" t="str">
        <f t="shared" si="1"/>
        <v/>
      </c>
      <c r="N20" s="43" t="str">
        <f t="shared" si="2"/>
        <v/>
      </c>
      <c r="P20" s="7" t="str">
        <f t="shared" si="3"/>
        <v/>
      </c>
      <c r="Q20" s="7" t="str">
        <f t="shared" si="15"/>
        <v/>
      </c>
      <c r="R20" s="7" t="str">
        <f t="shared" si="6"/>
        <v/>
      </c>
      <c r="S20" s="7" t="str">
        <f t="shared" si="7"/>
        <v/>
      </c>
      <c r="T20" s="7" t="str">
        <f t="shared" si="8"/>
        <v/>
      </c>
      <c r="V20">
        <f t="shared" si="21"/>
        <v>720</v>
      </c>
      <c r="W20" s="32">
        <f t="shared" si="16"/>
        <v>760</v>
      </c>
      <c r="X20" s="36">
        <f t="shared" si="9"/>
        <v>740</v>
      </c>
      <c r="Y20" s="18" t="b">
        <f t="shared" si="10"/>
        <v>0</v>
      </c>
      <c r="Z20" s="18">
        <f t="shared" si="11"/>
        <v>15.9</v>
      </c>
      <c r="AA20" s="18">
        <f t="shared" si="22"/>
        <v>734.1</v>
      </c>
      <c r="AB20" s="18">
        <f t="shared" si="23"/>
        <v>765.9</v>
      </c>
      <c r="AC20" s="18">
        <f t="shared" si="14"/>
        <v>4</v>
      </c>
      <c r="AD20" s="18">
        <f t="shared" si="4"/>
        <v>9.9999999999999769</v>
      </c>
      <c r="AE20" s="44">
        <f t="shared" si="5"/>
        <v>2770.7398599473349</v>
      </c>
      <c r="AF20" s="44">
        <f t="shared" si="17"/>
        <v>47245.93985994735</v>
      </c>
      <c r="AG20" s="32">
        <f t="shared" si="18"/>
        <v>2770.7398599473381</v>
      </c>
      <c r="AH20" s="63">
        <f t="shared" si="19"/>
        <v>157229.26014005265</v>
      </c>
      <c r="AI20" s="63">
        <f t="shared" si="20"/>
        <v>145229.26014005265</v>
      </c>
    </row>
    <row r="21" spans="1:35" x14ac:dyDescent="0.15">
      <c r="A21" s="4" t="s">
        <v>44</v>
      </c>
      <c r="B21" s="7" t="s">
        <v>45</v>
      </c>
      <c r="C21" s="7" t="s">
        <v>46</v>
      </c>
      <c r="D21" s="5">
        <v>286.5</v>
      </c>
      <c r="E21" t="s">
        <v>48</v>
      </c>
      <c r="F21" s="7" t="s">
        <v>49</v>
      </c>
      <c r="G21" s="7" t="s">
        <v>50</v>
      </c>
      <c r="H21" s="2">
        <f>MIN(0.018,4*D21/D10/D22)</f>
        <v>8.7314285714285705E-3</v>
      </c>
      <c r="I21" s="2"/>
      <c r="K21" s="56"/>
      <c r="L21" s="7" t="str">
        <f t="shared" si="0"/>
        <v/>
      </c>
      <c r="M21" s="43" t="str">
        <f t="shared" si="1"/>
        <v/>
      </c>
      <c r="N21" s="43" t="str">
        <f t="shared" si="2"/>
        <v/>
      </c>
      <c r="P21" s="7" t="str">
        <f t="shared" si="3"/>
        <v/>
      </c>
      <c r="Q21" s="7" t="str">
        <f t="shared" si="15"/>
        <v/>
      </c>
      <c r="R21" s="7" t="str">
        <f t="shared" si="6"/>
        <v/>
      </c>
      <c r="S21" s="7" t="str">
        <f t="shared" si="7"/>
        <v/>
      </c>
      <c r="T21" s="7" t="str">
        <f t="shared" si="8"/>
        <v/>
      </c>
      <c r="V21">
        <f t="shared" si="21"/>
        <v>760</v>
      </c>
      <c r="W21" s="32">
        <f t="shared" si="16"/>
        <v>800</v>
      </c>
      <c r="X21" s="36">
        <f t="shared" si="9"/>
        <v>780</v>
      </c>
      <c r="Y21" s="18" t="b">
        <f t="shared" si="10"/>
        <v>0</v>
      </c>
      <c r="Z21" s="18">
        <f t="shared" si="11"/>
        <v>15.9</v>
      </c>
      <c r="AA21" s="18">
        <f t="shared" si="22"/>
        <v>734.1</v>
      </c>
      <c r="AB21" s="18">
        <f t="shared" si="23"/>
        <v>765.9</v>
      </c>
      <c r="AC21" s="18">
        <f t="shared" si="14"/>
        <v>4</v>
      </c>
      <c r="AD21" s="18">
        <f t="shared" si="4"/>
        <v>49.999999999999979</v>
      </c>
      <c r="AE21" s="44">
        <f t="shared" si="5"/>
        <v>0</v>
      </c>
      <c r="AF21" s="44">
        <f t="shared" si="17"/>
        <v>47652.000000000015</v>
      </c>
      <c r="AG21" s="32">
        <f t="shared" si="18"/>
        <v>406.06014005266479</v>
      </c>
      <c r="AH21" s="63">
        <f t="shared" si="19"/>
        <v>159593.93985994734</v>
      </c>
      <c r="AI21" s="63">
        <f t="shared" si="20"/>
        <v>147593.93985994734</v>
      </c>
    </row>
    <row r="22" spans="1:35" x14ac:dyDescent="0.15">
      <c r="A22" s="5" t="s">
        <v>11</v>
      </c>
      <c r="B22" s="7" t="s">
        <v>47</v>
      </c>
      <c r="C22" s="7" t="s">
        <v>19</v>
      </c>
      <c r="D22" s="5">
        <v>875</v>
      </c>
      <c r="E22" t="s">
        <v>52</v>
      </c>
      <c r="F22" s="7" t="s">
        <v>53</v>
      </c>
      <c r="G22" s="7" t="s">
        <v>54</v>
      </c>
      <c r="H22">
        <f>MIN(345,D12)</f>
        <v>345</v>
      </c>
      <c r="L22" s="7" t="str">
        <f t="shared" si="0"/>
        <v/>
      </c>
      <c r="M22" s="43" t="str">
        <f t="shared" si="1"/>
        <v/>
      </c>
      <c r="N22" s="43" t="str">
        <f t="shared" si="2"/>
        <v/>
      </c>
      <c r="P22" s="7" t="str">
        <f t="shared" si="3"/>
        <v/>
      </c>
      <c r="Q22" s="7" t="str">
        <f t="shared" si="15"/>
        <v/>
      </c>
      <c r="R22" s="7" t="str">
        <f t="shared" si="6"/>
        <v/>
      </c>
      <c r="S22" s="7" t="str">
        <f t="shared" si="7"/>
        <v/>
      </c>
      <c r="T22" s="7" t="str">
        <f t="shared" si="8"/>
        <v/>
      </c>
      <c r="V22">
        <f t="shared" si="21"/>
        <v>800</v>
      </c>
      <c r="W22" s="32">
        <f t="shared" si="16"/>
        <v>840</v>
      </c>
      <c r="X22" s="36">
        <f t="shared" si="9"/>
        <v>820</v>
      </c>
      <c r="Y22" s="18" t="b">
        <f t="shared" si="10"/>
        <v>0</v>
      </c>
      <c r="Z22" s="18">
        <f t="shared" si="11"/>
        <v>15.9</v>
      </c>
      <c r="AA22" s="18">
        <f t="shared" si="22"/>
        <v>734.1</v>
      </c>
      <c r="AB22" s="18">
        <f t="shared" si="23"/>
        <v>765.9</v>
      </c>
      <c r="AC22" s="18">
        <f t="shared" si="14"/>
        <v>4</v>
      </c>
      <c r="AD22" s="18">
        <f t="shared" si="4"/>
        <v>89.999999999999972</v>
      </c>
      <c r="AE22" s="44">
        <f t="shared" si="5"/>
        <v>0</v>
      </c>
      <c r="AF22" s="44">
        <f t="shared" si="17"/>
        <v>47652.000000000015</v>
      </c>
      <c r="AG22" s="32">
        <f t="shared" si="18"/>
        <v>0</v>
      </c>
      <c r="AH22" s="63">
        <f t="shared" si="19"/>
        <v>160000</v>
      </c>
      <c r="AI22" s="63">
        <f t="shared" si="20"/>
        <v>148000</v>
      </c>
    </row>
    <row r="23" spans="1:35" x14ac:dyDescent="0.15">
      <c r="A23" s="4" t="s">
        <v>55</v>
      </c>
      <c r="B23" s="7" t="s">
        <v>1</v>
      </c>
      <c r="C23" s="7" t="s">
        <v>27</v>
      </c>
      <c r="D23" s="5">
        <v>30</v>
      </c>
      <c r="E23" t="s">
        <v>56</v>
      </c>
      <c r="F23" s="7" t="s">
        <v>57</v>
      </c>
      <c r="G23" s="7"/>
      <c r="H23" s="2">
        <f>0.002+0.033*H5*H21*H22/D23</f>
        <v>3.325430857142857E-3</v>
      </c>
      <c r="I23" s="2"/>
      <c r="K23" s="56"/>
      <c r="L23" s="7" t="str">
        <f t="shared" si="0"/>
        <v/>
      </c>
      <c r="M23" s="43" t="str">
        <f t="shared" si="1"/>
        <v/>
      </c>
      <c r="N23" s="43" t="str">
        <f t="shared" si="2"/>
        <v/>
      </c>
      <c r="P23" s="7" t="str">
        <f t="shared" si="3"/>
        <v/>
      </c>
      <c r="Q23" s="7" t="str">
        <f t="shared" si="15"/>
        <v/>
      </c>
      <c r="R23" s="7" t="str">
        <f t="shared" si="6"/>
        <v/>
      </c>
      <c r="S23" s="7" t="str">
        <f t="shared" si="7"/>
        <v/>
      </c>
      <c r="T23" s="7" t="str">
        <f t="shared" si="8"/>
        <v/>
      </c>
      <c r="V23">
        <f t="shared" si="21"/>
        <v>840</v>
      </c>
      <c r="W23" s="32">
        <f t="shared" si="16"/>
        <v>880</v>
      </c>
      <c r="X23" s="36">
        <f t="shared" si="9"/>
        <v>860</v>
      </c>
      <c r="Y23" s="18" t="b">
        <f t="shared" si="10"/>
        <v>0</v>
      </c>
      <c r="Z23" s="18">
        <f t="shared" si="11"/>
        <v>15.9</v>
      </c>
      <c r="AA23" s="18">
        <f t="shared" si="22"/>
        <v>859.1</v>
      </c>
      <c r="AB23" s="18">
        <f t="shared" si="23"/>
        <v>890.9</v>
      </c>
      <c r="AC23" s="18">
        <f t="shared" si="14"/>
        <v>2</v>
      </c>
      <c r="AD23" s="18">
        <f t="shared" si="4"/>
        <v>4.9999999999999769</v>
      </c>
      <c r="AE23" s="44">
        <f t="shared" si="5"/>
        <v>1106.9043204592358</v>
      </c>
      <c r="AF23" s="44">
        <f t="shared" si="17"/>
        <v>48758.904320459253</v>
      </c>
      <c r="AG23" s="32">
        <f t="shared" si="18"/>
        <v>1106.9043204592381</v>
      </c>
      <c r="AH23" s="63">
        <f t="shared" si="19"/>
        <v>158893.09567954077</v>
      </c>
      <c r="AI23" s="63">
        <f t="shared" si="20"/>
        <v>146893.09567954077</v>
      </c>
    </row>
    <row r="24" spans="1:35" x14ac:dyDescent="0.15">
      <c r="A24" s="4" t="s">
        <v>67</v>
      </c>
      <c r="B24" s="7" t="s">
        <v>66</v>
      </c>
      <c r="C24" s="7" t="s">
        <v>27</v>
      </c>
      <c r="D24" s="4">
        <v>28000</v>
      </c>
      <c r="E24" t="s">
        <v>59</v>
      </c>
      <c r="F24" s="7" t="s">
        <v>0</v>
      </c>
      <c r="G24" s="7" t="s">
        <v>27</v>
      </c>
      <c r="H24" s="6">
        <f>D23+3.8*H4*H21*H22</f>
        <v>32.289380571428573</v>
      </c>
      <c r="I24" s="6"/>
      <c r="K24" s="57"/>
      <c r="L24" s="7" t="str">
        <f t="shared" si="0"/>
        <v/>
      </c>
      <c r="M24" s="43" t="str">
        <f t="shared" si="1"/>
        <v/>
      </c>
      <c r="N24" s="43" t="str">
        <f t="shared" si="2"/>
        <v/>
      </c>
      <c r="P24" s="7" t="str">
        <f t="shared" si="3"/>
        <v/>
      </c>
      <c r="Q24" s="7" t="str">
        <f t="shared" si="15"/>
        <v/>
      </c>
      <c r="R24" s="7" t="str">
        <f t="shared" si="6"/>
        <v/>
      </c>
      <c r="S24" s="7" t="str">
        <f t="shared" si="7"/>
        <v/>
      </c>
      <c r="T24" s="7" t="str">
        <f t="shared" si="8"/>
        <v/>
      </c>
      <c r="V24">
        <f t="shared" si="21"/>
        <v>880</v>
      </c>
      <c r="W24" s="32">
        <f t="shared" si="16"/>
        <v>920</v>
      </c>
      <c r="X24" s="36">
        <f t="shared" si="9"/>
        <v>900</v>
      </c>
      <c r="Y24" s="18" t="b">
        <f t="shared" si="10"/>
        <v>0</v>
      </c>
      <c r="Z24" s="18">
        <f t="shared" si="11"/>
        <v>15.9</v>
      </c>
      <c r="AA24" s="18">
        <f t="shared" si="22"/>
        <v>859.1</v>
      </c>
      <c r="AB24" s="18">
        <f t="shared" si="23"/>
        <v>890.9</v>
      </c>
      <c r="AC24" s="18">
        <f t="shared" si="14"/>
        <v>2</v>
      </c>
      <c r="AD24" s="18">
        <f t="shared" si="4"/>
        <v>44.999999999999979</v>
      </c>
      <c r="AE24" s="44">
        <f t="shared" si="5"/>
        <v>0</v>
      </c>
      <c r="AF24" s="44">
        <f t="shared" si="17"/>
        <v>49240.400000000016</v>
      </c>
      <c r="AG24" s="32">
        <f t="shared" si="18"/>
        <v>481.49567954076338</v>
      </c>
      <c r="AH24" s="63">
        <f t="shared" si="19"/>
        <v>159518.50432045924</v>
      </c>
      <c r="AI24" s="63">
        <f t="shared" si="20"/>
        <v>147518.50432045924</v>
      </c>
    </row>
    <row r="25" spans="1:35" ht="14.25" thickBot="1" x14ac:dyDescent="0.2">
      <c r="E25" s="7" t="s">
        <v>60</v>
      </c>
      <c r="F25" s="7" t="s">
        <v>61</v>
      </c>
      <c r="G25" s="7" t="s">
        <v>27</v>
      </c>
      <c r="H25" s="9">
        <f>11.2*D23^2/H21/H22</f>
        <v>3346.2326428408837</v>
      </c>
      <c r="I25" s="9"/>
      <c r="K25" s="58"/>
      <c r="L25" s="7" t="str">
        <f t="shared" si="0"/>
        <v/>
      </c>
      <c r="M25" s="43" t="str">
        <f t="shared" si="1"/>
        <v/>
      </c>
      <c r="N25" s="43" t="str">
        <f t="shared" si="2"/>
        <v/>
      </c>
      <c r="P25" s="7" t="str">
        <f t="shared" si="3"/>
        <v/>
      </c>
      <c r="Q25" s="7" t="str">
        <f t="shared" si="15"/>
        <v/>
      </c>
      <c r="R25" s="7" t="str">
        <f t="shared" si="6"/>
        <v/>
      </c>
      <c r="S25" s="7" t="str">
        <f t="shared" si="7"/>
        <v/>
      </c>
      <c r="T25" s="7" t="str">
        <f t="shared" si="8"/>
        <v/>
      </c>
      <c r="V25">
        <f t="shared" si="21"/>
        <v>920</v>
      </c>
      <c r="W25" s="32">
        <f t="shared" si="16"/>
        <v>960</v>
      </c>
      <c r="X25" s="36">
        <f t="shared" si="9"/>
        <v>940</v>
      </c>
      <c r="Y25" s="18" t="b">
        <f t="shared" si="10"/>
        <v>0</v>
      </c>
      <c r="Z25" s="18">
        <f t="shared" si="11"/>
        <v>15.9</v>
      </c>
      <c r="AA25" s="18">
        <f t="shared" si="22"/>
        <v>859.1</v>
      </c>
      <c r="AB25" s="18">
        <f t="shared" si="23"/>
        <v>890.9</v>
      </c>
      <c r="AC25" s="18">
        <f t="shared" si="14"/>
        <v>2</v>
      </c>
      <c r="AD25" s="18">
        <f t="shared" si="4"/>
        <v>84.999999999999972</v>
      </c>
      <c r="AE25" s="44">
        <f t="shared" si="5"/>
        <v>0</v>
      </c>
      <c r="AF25" s="44">
        <f t="shared" si="17"/>
        <v>49240.400000000016</v>
      </c>
      <c r="AG25" s="32">
        <f t="shared" si="18"/>
        <v>0</v>
      </c>
      <c r="AH25" s="63">
        <f t="shared" si="19"/>
        <v>160000</v>
      </c>
      <c r="AI25" s="63">
        <f t="shared" si="20"/>
        <v>148000</v>
      </c>
    </row>
    <row r="26" spans="1:35" ht="14.25" thickBot="1" x14ac:dyDescent="0.2">
      <c r="A26" t="s">
        <v>248</v>
      </c>
      <c r="E26" t="s">
        <v>62</v>
      </c>
      <c r="F26" s="7" t="s">
        <v>63</v>
      </c>
      <c r="G26" s="7"/>
      <c r="H26" s="21">
        <f>H23+0.5*H24/H25</f>
        <v>8.1501672125947524E-3</v>
      </c>
      <c r="I26" s="41"/>
      <c r="J26" s="48"/>
      <c r="K26" s="59"/>
      <c r="L26" s="7" t="str">
        <f t="shared" si="0"/>
        <v/>
      </c>
      <c r="M26" s="43" t="str">
        <f t="shared" si="1"/>
        <v/>
      </c>
      <c r="N26" s="43" t="str">
        <f t="shared" si="2"/>
        <v/>
      </c>
      <c r="O26" s="48"/>
      <c r="P26" s="7" t="str">
        <f t="shared" si="3"/>
        <v/>
      </c>
      <c r="Q26" s="7" t="str">
        <f t="shared" si="15"/>
        <v/>
      </c>
      <c r="R26" s="7" t="str">
        <f t="shared" si="6"/>
        <v/>
      </c>
      <c r="S26" s="7" t="str">
        <f t="shared" si="7"/>
        <v/>
      </c>
      <c r="T26" s="7" t="str">
        <f t="shared" si="8"/>
        <v/>
      </c>
      <c r="V26">
        <f t="shared" si="21"/>
        <v>960</v>
      </c>
      <c r="W26" s="32">
        <f t="shared" si="16"/>
        <v>1000</v>
      </c>
      <c r="X26" s="36">
        <f t="shared" si="9"/>
        <v>980</v>
      </c>
      <c r="Y26" s="18" t="b">
        <f t="shared" si="10"/>
        <v>0</v>
      </c>
      <c r="Z26" s="18">
        <f t="shared" si="11"/>
        <v>15.9</v>
      </c>
      <c r="AA26" s="18">
        <f t="shared" si="22"/>
        <v>984.1</v>
      </c>
      <c r="AB26" s="18">
        <f t="shared" si="23"/>
        <v>1015.9</v>
      </c>
      <c r="AC26" s="18">
        <f t="shared" si="14"/>
        <v>4</v>
      </c>
      <c r="AD26" s="18">
        <f t="shared" si="4"/>
        <v>0</v>
      </c>
      <c r="AE26" s="44">
        <f t="shared" si="5"/>
        <v>1588.4520775080712</v>
      </c>
      <c r="AF26" s="44">
        <f t="shared" si="17"/>
        <v>50828.852077508091</v>
      </c>
      <c r="AG26" s="32">
        <f t="shared" si="18"/>
        <v>1588.4520775080746</v>
      </c>
      <c r="AH26" s="63">
        <f t="shared" si="19"/>
        <v>158411.54792249191</v>
      </c>
      <c r="AI26" s="63">
        <f t="shared" si="20"/>
        <v>146411.54792249191</v>
      </c>
    </row>
    <row r="27" spans="1:35" x14ac:dyDescent="0.15">
      <c r="A27" s="4" t="s">
        <v>74</v>
      </c>
      <c r="B27" s="4"/>
      <c r="C27" s="7" t="s">
        <v>77</v>
      </c>
      <c r="D27" s="31">
        <v>6040</v>
      </c>
      <c r="E27" t="s">
        <v>68</v>
      </c>
      <c r="F27" s="7" t="s">
        <v>3</v>
      </c>
      <c r="G27" s="7"/>
      <c r="H27" s="3">
        <f>D24*H23/(D24*H23-H24)</f>
        <v>1.5308772772143207</v>
      </c>
      <c r="I27" s="3"/>
      <c r="K27" s="60"/>
      <c r="L27" s="7" t="str">
        <f t="shared" si="0"/>
        <v/>
      </c>
      <c r="M27" s="43" t="str">
        <f t="shared" si="1"/>
        <v/>
      </c>
      <c r="N27" s="43" t="str">
        <f t="shared" si="2"/>
        <v/>
      </c>
      <c r="P27" s="7" t="str">
        <f t="shared" si="3"/>
        <v/>
      </c>
      <c r="Q27" s="7" t="str">
        <f t="shared" si="15"/>
        <v/>
      </c>
      <c r="R27" s="7" t="str">
        <f t="shared" si="6"/>
        <v/>
      </c>
      <c r="S27" s="7" t="str">
        <f t="shared" si="7"/>
        <v/>
      </c>
      <c r="T27" s="7" t="str">
        <f t="shared" si="8"/>
        <v/>
      </c>
      <c r="V27">
        <f t="shared" si="21"/>
        <v>1000</v>
      </c>
      <c r="W27" s="32">
        <f t="shared" si="16"/>
        <v>1040</v>
      </c>
      <c r="X27" s="36">
        <f t="shared" si="9"/>
        <v>1020</v>
      </c>
      <c r="Y27" s="18" t="b">
        <f t="shared" si="10"/>
        <v>0</v>
      </c>
      <c r="Z27" s="18">
        <f t="shared" si="11"/>
        <v>15.9</v>
      </c>
      <c r="AA27" s="18">
        <f t="shared" si="22"/>
        <v>984.1</v>
      </c>
      <c r="AB27" s="18">
        <f t="shared" si="23"/>
        <v>1015.9</v>
      </c>
      <c r="AC27" s="18">
        <f t="shared" si="14"/>
        <v>4</v>
      </c>
      <c r="AD27" s="18">
        <f t="shared" si="4"/>
        <v>39.999999999999979</v>
      </c>
      <c r="AE27" s="44">
        <f t="shared" si="5"/>
        <v>0</v>
      </c>
      <c r="AF27" s="44">
        <f t="shared" si="17"/>
        <v>52417.200000000019</v>
      </c>
      <c r="AG27" s="32">
        <f t="shared" si="18"/>
        <v>1588.3479224919283</v>
      </c>
      <c r="AH27" s="63">
        <f t="shared" si="19"/>
        <v>158411.65207750807</v>
      </c>
      <c r="AI27" s="63">
        <f t="shared" si="20"/>
        <v>146411.65207750807</v>
      </c>
    </row>
    <row r="28" spans="1:35" x14ac:dyDescent="0.15">
      <c r="B28" s="8"/>
      <c r="E28" t="s">
        <v>79</v>
      </c>
      <c r="F28" s="7" t="s">
        <v>80</v>
      </c>
      <c r="G28" s="7" t="s">
        <v>81</v>
      </c>
      <c r="H28" s="66">
        <f>0.23*D23^(2/3)</f>
        <v>2.2206255845929483</v>
      </c>
      <c r="I28" s="13"/>
      <c r="K28" s="61"/>
      <c r="L28" s="7" t="str">
        <f t="shared" si="0"/>
        <v/>
      </c>
      <c r="M28" s="43" t="str">
        <f t="shared" si="1"/>
        <v/>
      </c>
      <c r="N28" s="43" t="str">
        <f t="shared" si="2"/>
        <v/>
      </c>
      <c r="P28" s="7" t="str">
        <f t="shared" si="3"/>
        <v/>
      </c>
      <c r="Q28" s="7" t="str">
        <f t="shared" si="15"/>
        <v/>
      </c>
      <c r="R28" s="7" t="str">
        <f t="shared" si="6"/>
        <v/>
      </c>
      <c r="S28" s="7" t="str">
        <f t="shared" si="7"/>
        <v/>
      </c>
      <c r="T28" s="7" t="str">
        <f t="shared" si="8"/>
        <v/>
      </c>
      <c r="V28">
        <f t="shared" si="21"/>
        <v>1040</v>
      </c>
      <c r="W28" s="32">
        <f t="shared" si="16"/>
        <v>1080</v>
      </c>
      <c r="X28" s="36">
        <f t="shared" si="9"/>
        <v>1060</v>
      </c>
      <c r="Y28" s="18" t="b">
        <f t="shared" si="10"/>
        <v>0</v>
      </c>
      <c r="Z28" s="18">
        <f t="shared" si="11"/>
        <v>15.9</v>
      </c>
      <c r="AA28" s="18">
        <f t="shared" si="22"/>
        <v>984.1</v>
      </c>
      <c r="AB28" s="18">
        <f t="shared" si="23"/>
        <v>1015.9</v>
      </c>
      <c r="AC28" s="18">
        <f t="shared" si="14"/>
        <v>4</v>
      </c>
      <c r="AD28" s="18">
        <f t="shared" si="4"/>
        <v>79.999999999999972</v>
      </c>
      <c r="AE28" s="44">
        <f t="shared" si="5"/>
        <v>0</v>
      </c>
      <c r="AF28" s="44">
        <f t="shared" si="17"/>
        <v>52417.200000000019</v>
      </c>
      <c r="AG28" s="32">
        <f t="shared" si="18"/>
        <v>0</v>
      </c>
      <c r="AH28" s="63">
        <f t="shared" si="19"/>
        <v>160000</v>
      </c>
      <c r="AI28" s="63">
        <f t="shared" si="20"/>
        <v>148000</v>
      </c>
    </row>
    <row r="29" spans="1:35" x14ac:dyDescent="0.15">
      <c r="E29" t="s">
        <v>173</v>
      </c>
      <c r="G29" s="7"/>
      <c r="H29" s="80">
        <f>D17/D24</f>
        <v>7.1428571428571432</v>
      </c>
      <c r="L29" s="7" t="str">
        <f t="shared" si="0"/>
        <v/>
      </c>
      <c r="M29" s="43" t="str">
        <f t="shared" si="1"/>
        <v/>
      </c>
      <c r="N29" s="43" t="str">
        <f t="shared" si="2"/>
        <v/>
      </c>
      <c r="P29" s="7" t="str">
        <f t="shared" si="3"/>
        <v/>
      </c>
      <c r="Q29" s="7" t="str">
        <f t="shared" si="15"/>
        <v/>
      </c>
      <c r="R29" s="7" t="str">
        <f t="shared" si="6"/>
        <v/>
      </c>
      <c r="S29" s="7" t="str">
        <f t="shared" si="7"/>
        <v/>
      </c>
      <c r="T29" s="7" t="str">
        <f t="shared" si="8"/>
        <v/>
      </c>
      <c r="V29">
        <f t="shared" si="21"/>
        <v>1080</v>
      </c>
      <c r="W29" s="32">
        <f t="shared" si="16"/>
        <v>1120</v>
      </c>
      <c r="X29" s="36">
        <f t="shared" si="9"/>
        <v>1100</v>
      </c>
      <c r="Y29" s="18" t="b">
        <f t="shared" si="10"/>
        <v>0</v>
      </c>
      <c r="Z29" s="18">
        <f t="shared" si="11"/>
        <v>15.9</v>
      </c>
      <c r="AA29" s="18">
        <f t="shared" si="22"/>
        <v>1109.0999999999999</v>
      </c>
      <c r="AB29" s="18">
        <f t="shared" si="23"/>
        <v>1140.9000000000001</v>
      </c>
      <c r="AC29" s="18">
        <f t="shared" si="14"/>
        <v>2</v>
      </c>
      <c r="AD29" s="18">
        <f t="shared" si="4"/>
        <v>5</v>
      </c>
      <c r="AE29" s="44">
        <f t="shared" si="5"/>
        <v>481.54775704883406</v>
      </c>
      <c r="AF29" s="44">
        <f t="shared" si="17"/>
        <v>52898.747757048855</v>
      </c>
      <c r="AG29" s="32">
        <f t="shared" si="18"/>
        <v>481.5477570488365</v>
      </c>
      <c r="AH29" s="63">
        <f t="shared" si="19"/>
        <v>159518.45224295117</v>
      </c>
      <c r="AI29" s="63">
        <f t="shared" si="20"/>
        <v>147518.45224295117</v>
      </c>
    </row>
    <row r="30" spans="1:35" x14ac:dyDescent="0.15">
      <c r="E30" s="7" t="s">
        <v>235</v>
      </c>
      <c r="F30" s="7" t="s">
        <v>236</v>
      </c>
      <c r="G30" s="7" t="s">
        <v>232</v>
      </c>
      <c r="H30" s="80">
        <f>SUM(P2:P51)</f>
        <v>101657.60000000002</v>
      </c>
      <c r="L30" s="7" t="str">
        <f t="shared" si="0"/>
        <v/>
      </c>
      <c r="M30" s="43" t="str">
        <f t="shared" si="1"/>
        <v/>
      </c>
      <c r="N30" s="43" t="str">
        <f t="shared" si="2"/>
        <v/>
      </c>
      <c r="P30" s="7" t="str">
        <f t="shared" si="3"/>
        <v/>
      </c>
      <c r="Q30" s="7" t="str">
        <f t="shared" si="15"/>
        <v/>
      </c>
      <c r="R30" s="7" t="str">
        <f t="shared" si="6"/>
        <v/>
      </c>
      <c r="S30" s="7" t="str">
        <f t="shared" si="7"/>
        <v/>
      </c>
      <c r="T30" s="7" t="str">
        <f t="shared" si="8"/>
        <v/>
      </c>
      <c r="V30">
        <f t="shared" si="21"/>
        <v>1120</v>
      </c>
      <c r="W30" s="32">
        <f t="shared" si="16"/>
        <v>1160</v>
      </c>
      <c r="X30" s="36">
        <f t="shared" si="9"/>
        <v>1140</v>
      </c>
      <c r="Y30" s="18" t="b">
        <f t="shared" si="10"/>
        <v>0</v>
      </c>
      <c r="Z30" s="18">
        <f t="shared" si="11"/>
        <v>15.9</v>
      </c>
      <c r="AA30" s="18">
        <f t="shared" si="22"/>
        <v>1109.0999999999999</v>
      </c>
      <c r="AB30" s="18">
        <f t="shared" si="23"/>
        <v>1140.9000000000001</v>
      </c>
      <c r="AC30" s="18">
        <f t="shared" si="14"/>
        <v>2</v>
      </c>
      <c r="AD30" s="18">
        <f t="shared" si="4"/>
        <v>35.000000000000092</v>
      </c>
      <c r="AE30" s="44">
        <f t="shared" si="5"/>
        <v>0</v>
      </c>
      <c r="AF30" s="44">
        <f t="shared" si="17"/>
        <v>54005.60000000002</v>
      </c>
      <c r="AG30" s="32">
        <f t="shared" si="18"/>
        <v>1106.852242951165</v>
      </c>
      <c r="AH30" s="63">
        <f t="shared" si="19"/>
        <v>158893.14775704884</v>
      </c>
      <c r="AI30" s="63">
        <f t="shared" si="20"/>
        <v>146893.14775704884</v>
      </c>
    </row>
    <row r="31" spans="1:35" x14ac:dyDescent="0.15">
      <c r="E31" t="s">
        <v>230</v>
      </c>
      <c r="F31" s="7" t="s">
        <v>231</v>
      </c>
      <c r="G31" s="7" t="s">
        <v>232</v>
      </c>
      <c r="H31" s="80">
        <f>D2*D3+H29*H30</f>
        <v>8726125.7142857146</v>
      </c>
      <c r="J31" s="4"/>
      <c r="K31" s="62"/>
      <c r="L31" s="7" t="str">
        <f t="shared" si="0"/>
        <v/>
      </c>
      <c r="M31" s="43" t="str">
        <f t="shared" si="1"/>
        <v/>
      </c>
      <c r="N31" s="43" t="str">
        <f t="shared" si="2"/>
        <v/>
      </c>
      <c r="P31" s="7" t="str">
        <f t="shared" si="3"/>
        <v/>
      </c>
      <c r="Q31" s="7" t="str">
        <f t="shared" si="15"/>
        <v/>
      </c>
      <c r="R31" s="7" t="str">
        <f t="shared" si="6"/>
        <v/>
      </c>
      <c r="S31" s="7" t="str">
        <f t="shared" si="7"/>
        <v/>
      </c>
      <c r="T31" s="7" t="str">
        <f t="shared" si="8"/>
        <v/>
      </c>
      <c r="V31">
        <f t="shared" ref="V31:W51" si="24">V30+$H$3</f>
        <v>1160</v>
      </c>
      <c r="W31" s="32">
        <f t="shared" si="24"/>
        <v>1200</v>
      </c>
      <c r="X31" s="32">
        <f>W30+$H$3</f>
        <v>1200</v>
      </c>
      <c r="Y31" s="18" t="b">
        <f t="shared" si="10"/>
        <v>0</v>
      </c>
      <c r="Z31" s="18">
        <f t="shared" si="11"/>
        <v>15.9</v>
      </c>
      <c r="AA31" s="18">
        <f t="shared" si="22"/>
        <v>1109.0999999999999</v>
      </c>
      <c r="AB31" s="18">
        <f t="shared" si="23"/>
        <v>1140.9000000000001</v>
      </c>
      <c r="AC31" s="18">
        <f t="shared" si="14"/>
        <v>2</v>
      </c>
      <c r="AD31" s="18">
        <f t="shared" si="4"/>
        <v>75.000000000000085</v>
      </c>
      <c r="AE31" s="44">
        <f t="shared" si="5"/>
        <v>0</v>
      </c>
      <c r="AF31" s="44">
        <f t="shared" si="17"/>
        <v>54005.60000000002</v>
      </c>
      <c r="AG31" s="32">
        <f t="shared" si="18"/>
        <v>0</v>
      </c>
      <c r="AH31" s="63">
        <f t="shared" si="19"/>
        <v>160000</v>
      </c>
      <c r="AI31" s="63">
        <f t="shared" si="20"/>
        <v>148000</v>
      </c>
    </row>
    <row r="32" spans="1:35" x14ac:dyDescent="0.15">
      <c r="E32" s="7" t="s">
        <v>233</v>
      </c>
      <c r="F32" s="7" t="s">
        <v>237</v>
      </c>
      <c r="G32" s="7" t="s">
        <v>234</v>
      </c>
      <c r="H32" s="80">
        <f>SUM(S2:S51)/H31</f>
        <v>0</v>
      </c>
      <c r="I32" s="18"/>
      <c r="J32" s="4"/>
      <c r="K32" s="62"/>
      <c r="L32" s="7" t="str">
        <f t="shared" si="0"/>
        <v/>
      </c>
      <c r="M32" s="43" t="str">
        <f t="shared" si="1"/>
        <v/>
      </c>
      <c r="N32" s="43" t="str">
        <f t="shared" si="2"/>
        <v/>
      </c>
      <c r="P32" s="7" t="str">
        <f t="shared" si="3"/>
        <v/>
      </c>
      <c r="Q32" s="7" t="str">
        <f t="shared" si="15"/>
        <v/>
      </c>
      <c r="R32" s="7" t="str">
        <f t="shared" si="6"/>
        <v/>
      </c>
      <c r="S32" s="7" t="str">
        <f t="shared" si="7"/>
        <v/>
      </c>
      <c r="T32" s="7" t="str">
        <f t="shared" si="8"/>
        <v/>
      </c>
      <c r="V32">
        <f t="shared" si="24"/>
        <v>1200</v>
      </c>
      <c r="W32" s="32">
        <f t="shared" si="24"/>
        <v>1240</v>
      </c>
      <c r="X32" s="32">
        <f t="shared" ref="X32:X44" si="25">X31+$H$3</f>
        <v>1240</v>
      </c>
      <c r="Y32" s="18" t="b">
        <f t="shared" si="10"/>
        <v>0</v>
      </c>
      <c r="Z32" s="18">
        <f t="shared" si="11"/>
        <v>15.9</v>
      </c>
      <c r="AA32" s="18">
        <f t="shared" si="22"/>
        <v>1234.0999999999999</v>
      </c>
      <c r="AB32" s="18">
        <f t="shared" si="23"/>
        <v>1265.9000000000001</v>
      </c>
      <c r="AC32" s="18">
        <f t="shared" si="14"/>
        <v>4</v>
      </c>
      <c r="AD32" s="18">
        <f t="shared" si="4"/>
        <v>10</v>
      </c>
      <c r="AE32" s="44">
        <f t="shared" si="5"/>
        <v>406.1642950688049</v>
      </c>
      <c r="AF32" s="44">
        <f t="shared" si="17"/>
        <v>54411.764295068824</v>
      </c>
      <c r="AG32" s="32">
        <f t="shared" si="18"/>
        <v>406.16429506880377</v>
      </c>
      <c r="AH32" s="63">
        <f t="shared" si="19"/>
        <v>159593.8357049312</v>
      </c>
      <c r="AI32" s="63">
        <f t="shared" si="20"/>
        <v>147593.8357049312</v>
      </c>
    </row>
    <row r="33" spans="5:35" x14ac:dyDescent="0.15">
      <c r="E33" s="7" t="s">
        <v>238</v>
      </c>
      <c r="F33" s="7" t="s">
        <v>239</v>
      </c>
      <c r="G33" s="7" t="s">
        <v>240</v>
      </c>
      <c r="H33" s="82">
        <f>D2*D3^3/12+SUM(T2:T51)-H31*H32^2</f>
        <v>3055867213095.2378</v>
      </c>
      <c r="I33" s="18"/>
      <c r="J33" s="4"/>
      <c r="K33" s="62"/>
      <c r="L33" s="7" t="str">
        <f t="shared" si="0"/>
        <v/>
      </c>
      <c r="M33" s="43" t="str">
        <f t="shared" si="1"/>
        <v/>
      </c>
      <c r="N33" s="43" t="str">
        <f t="shared" si="2"/>
        <v/>
      </c>
      <c r="P33" s="7" t="str">
        <f t="shared" si="3"/>
        <v/>
      </c>
      <c r="Q33" s="7" t="str">
        <f t="shared" si="15"/>
        <v/>
      </c>
      <c r="R33" s="7" t="str">
        <f t="shared" si="6"/>
        <v/>
      </c>
      <c r="S33" s="7" t="str">
        <f t="shared" si="7"/>
        <v/>
      </c>
      <c r="T33" s="7" t="str">
        <f t="shared" si="8"/>
        <v/>
      </c>
      <c r="V33">
        <f t="shared" si="24"/>
        <v>1240</v>
      </c>
      <c r="W33" s="32">
        <f t="shared" si="24"/>
        <v>1280</v>
      </c>
      <c r="X33" s="32">
        <f t="shared" si="25"/>
        <v>1280</v>
      </c>
      <c r="Y33" s="18" t="b">
        <f t="shared" si="10"/>
        <v>0</v>
      </c>
      <c r="Z33" s="18">
        <f t="shared" si="11"/>
        <v>15.9</v>
      </c>
      <c r="AA33" s="18">
        <f t="shared" si="22"/>
        <v>1234.0999999999999</v>
      </c>
      <c r="AB33" s="18">
        <f t="shared" si="23"/>
        <v>1265.9000000000001</v>
      </c>
      <c r="AC33" s="18">
        <f t="shared" si="14"/>
        <v>4</v>
      </c>
      <c r="AD33" s="18">
        <f t="shared" si="4"/>
        <v>30.000000000000092</v>
      </c>
      <c r="AE33" s="44">
        <f t="shared" si="5"/>
        <v>0</v>
      </c>
      <c r="AF33" s="44">
        <f t="shared" si="17"/>
        <v>57182.400000000023</v>
      </c>
      <c r="AG33" s="32">
        <f t="shared" si="18"/>
        <v>2770.6357049311991</v>
      </c>
      <c r="AH33" s="63">
        <f t="shared" si="19"/>
        <v>157229.36429506881</v>
      </c>
      <c r="AI33" s="63">
        <f t="shared" si="20"/>
        <v>145229.36429506881</v>
      </c>
    </row>
    <row r="34" spans="5:35" ht="14.25" thickBot="1" x14ac:dyDescent="0.2">
      <c r="E34" t="s">
        <v>163</v>
      </c>
      <c r="F34" s="7" t="s">
        <v>165</v>
      </c>
      <c r="G34" s="65" t="s">
        <v>164</v>
      </c>
      <c r="H34" s="83">
        <f>H33/(D3/2+H32)</f>
        <v>3055867213.0952377</v>
      </c>
      <c r="I34" s="18"/>
      <c r="J34" s="4"/>
      <c r="K34" s="62"/>
      <c r="L34" s="7" t="str">
        <f t="shared" ref="L34:L51" si="26">IF(ISERROR(VLOOKUP(K34,$E$38:$G$50,2,FALSE)),"",VLOOKUP(K34,$E$38:$G$50,2,FALSE)/2)</f>
        <v/>
      </c>
      <c r="M34" s="43" t="str">
        <f t="shared" ref="M34:M51" si="27">IF(L34="","",J34-L34)</f>
        <v/>
      </c>
      <c r="N34" s="43" t="str">
        <f t="shared" ref="N34:N51" si="28">IF(L34="","",J34+L34)</f>
        <v/>
      </c>
      <c r="P34" s="7" t="str">
        <f t="shared" ref="P34:P51" si="29">IF(ISERROR(VLOOKUP(K34,$E$38:$G$50,3,FALSE)),"",VLOOKUP(K34,$E$38:$G$50,3,FALSE)*O34)</f>
        <v/>
      </c>
      <c r="Q34" s="7" t="str">
        <f t="shared" si="15"/>
        <v/>
      </c>
      <c r="R34" s="7" t="str">
        <f t="shared" ref="R34:R51" si="30">IF(L34="","",L34)</f>
        <v/>
      </c>
      <c r="S34" s="7" t="str">
        <f t="shared" si="7"/>
        <v/>
      </c>
      <c r="T34" s="7" t="str">
        <f t="shared" si="8"/>
        <v/>
      </c>
      <c r="V34">
        <f t="shared" si="24"/>
        <v>1280</v>
      </c>
      <c r="W34" s="32">
        <f t="shared" si="24"/>
        <v>1320</v>
      </c>
      <c r="X34" s="32">
        <f t="shared" si="25"/>
        <v>1320</v>
      </c>
      <c r="Y34" s="18" t="b">
        <f t="shared" si="10"/>
        <v>0</v>
      </c>
      <c r="Z34" s="18">
        <f t="shared" si="11"/>
        <v>15.9</v>
      </c>
      <c r="AA34" s="18">
        <f t="shared" si="22"/>
        <v>1234.0999999999999</v>
      </c>
      <c r="AB34" s="18">
        <f t="shared" si="23"/>
        <v>1265.9000000000001</v>
      </c>
      <c r="AC34" s="18">
        <f t="shared" si="14"/>
        <v>4</v>
      </c>
      <c r="AD34" s="18">
        <f t="shared" ref="AD34:AD51" si="31">IF(W34-AA34&gt;Z34,W34-AA34-Z34,Z34-W34+AA34)</f>
        <v>70.000000000000085</v>
      </c>
      <c r="AE34" s="44">
        <f t="shared" ref="AE34:AE51" si="32">IF(AB34&lt;W34,0,IF(W34-AA34&gt;Z34,AC34*(PI()*Z34^2-Z34^2*ACOS(AD34/Z34)+AD34*SQRT(Z34^2-AD34^2)),AC34*(Z34^2*ACOS(AD34/Z34)-AD34*SQRT(Z34^2-AD34^2))))</f>
        <v>0</v>
      </c>
      <c r="AF34" s="44">
        <f t="shared" si="17"/>
        <v>57182.400000000023</v>
      </c>
      <c r="AG34" s="32">
        <f t="shared" si="18"/>
        <v>0</v>
      </c>
      <c r="AH34" s="63">
        <f t="shared" si="19"/>
        <v>160000</v>
      </c>
      <c r="AI34" s="63">
        <f t="shared" si="20"/>
        <v>148000</v>
      </c>
    </row>
    <row r="35" spans="5:35" ht="14.25" thickBot="1" x14ac:dyDescent="0.2">
      <c r="E35" t="s">
        <v>169</v>
      </c>
      <c r="F35" s="7" t="s">
        <v>166</v>
      </c>
      <c r="G35" s="65" t="s">
        <v>167</v>
      </c>
      <c r="H35" s="79">
        <f>H34*(H28+H7*1000/H31)</f>
        <v>9587516736.1554432</v>
      </c>
      <c r="I35" s="18"/>
      <c r="J35" s="4"/>
      <c r="K35" s="62"/>
      <c r="L35" s="7" t="str">
        <f t="shared" si="26"/>
        <v/>
      </c>
      <c r="M35" s="43" t="str">
        <f t="shared" si="27"/>
        <v/>
      </c>
      <c r="N35" s="43" t="str">
        <f t="shared" si="28"/>
        <v/>
      </c>
      <c r="P35" s="7" t="str">
        <f t="shared" si="29"/>
        <v/>
      </c>
      <c r="Q35" s="7" t="str">
        <f t="shared" si="15"/>
        <v/>
      </c>
      <c r="R35" s="7" t="str">
        <f t="shared" si="30"/>
        <v/>
      </c>
      <c r="S35" s="7" t="str">
        <f t="shared" si="7"/>
        <v/>
      </c>
      <c r="T35" s="7" t="str">
        <f t="shared" si="8"/>
        <v/>
      </c>
      <c r="V35">
        <f t="shared" si="24"/>
        <v>1320</v>
      </c>
      <c r="W35" s="32">
        <f t="shared" si="24"/>
        <v>1360</v>
      </c>
      <c r="X35" s="32">
        <f t="shared" si="25"/>
        <v>1360</v>
      </c>
      <c r="Y35" s="18" t="b">
        <f t="shared" si="10"/>
        <v>0</v>
      </c>
      <c r="Z35" s="18">
        <f t="shared" si="11"/>
        <v>15.9</v>
      </c>
      <c r="AA35" s="18">
        <f t="shared" si="22"/>
        <v>1359.1</v>
      </c>
      <c r="AB35" s="18">
        <f t="shared" si="23"/>
        <v>1390.9</v>
      </c>
      <c r="AC35" s="18">
        <f t="shared" si="14"/>
        <v>2</v>
      </c>
      <c r="AD35" s="18">
        <f t="shared" si="31"/>
        <v>15</v>
      </c>
      <c r="AE35" s="44">
        <f t="shared" si="32"/>
        <v>12.729868032886742</v>
      </c>
      <c r="AF35" s="44">
        <f t="shared" si="17"/>
        <v>57195.129868032913</v>
      </c>
      <c r="AG35" s="32">
        <f t="shared" si="18"/>
        <v>12.729868032889499</v>
      </c>
      <c r="AH35" s="63">
        <f t="shared" ref="AH35:AH51" si="33">$D$2*(W35-W34)-AG35</f>
        <v>159987.27013196712</v>
      </c>
      <c r="AI35" s="63">
        <f t="shared" si="20"/>
        <v>147987.27013196712</v>
      </c>
    </row>
    <row r="36" spans="5:35" ht="14.25" thickBot="1" x14ac:dyDescent="0.2">
      <c r="E36" t="s">
        <v>168</v>
      </c>
      <c r="F36" s="7" t="s">
        <v>170</v>
      </c>
      <c r="G36" s="65" t="s">
        <v>171</v>
      </c>
      <c r="H36" s="79">
        <f>H35/D24/H33</f>
        <v>1.120504551173638E-7</v>
      </c>
      <c r="I36" s="18"/>
      <c r="J36" s="4"/>
      <c r="K36" s="62"/>
      <c r="L36" s="7" t="str">
        <f t="shared" si="26"/>
        <v/>
      </c>
      <c r="M36" s="43" t="str">
        <f t="shared" si="27"/>
        <v/>
      </c>
      <c r="N36" s="43" t="str">
        <f t="shared" si="28"/>
        <v/>
      </c>
      <c r="P36" s="7" t="str">
        <f t="shared" si="29"/>
        <v/>
      </c>
      <c r="Q36" s="7" t="str">
        <f t="shared" si="15"/>
        <v/>
      </c>
      <c r="R36" s="7" t="str">
        <f t="shared" si="30"/>
        <v/>
      </c>
      <c r="S36" s="7" t="str">
        <f t="shared" si="7"/>
        <v/>
      </c>
      <c r="T36" s="7" t="str">
        <f t="shared" si="8"/>
        <v/>
      </c>
      <c r="V36">
        <f t="shared" si="24"/>
        <v>1360</v>
      </c>
      <c r="W36" s="32">
        <f t="shared" si="24"/>
        <v>1400</v>
      </c>
      <c r="X36" s="32">
        <f t="shared" si="25"/>
        <v>1400</v>
      </c>
      <c r="Y36" s="18" t="b">
        <f t="shared" si="10"/>
        <v>0</v>
      </c>
      <c r="Z36" s="18">
        <f t="shared" si="11"/>
        <v>15.9</v>
      </c>
      <c r="AA36" s="18">
        <f t="shared" si="22"/>
        <v>1359.1</v>
      </c>
      <c r="AB36" s="18">
        <f t="shared" si="23"/>
        <v>1390.9</v>
      </c>
      <c r="AC36" s="18">
        <f t="shared" si="14"/>
        <v>2</v>
      </c>
      <c r="AD36" s="18">
        <f t="shared" si="31"/>
        <v>25.000000000000092</v>
      </c>
      <c r="AE36" s="44">
        <f t="shared" si="32"/>
        <v>0</v>
      </c>
      <c r="AF36" s="44">
        <f t="shared" si="17"/>
        <v>58770.800000000025</v>
      </c>
      <c r="AG36" s="32">
        <f t="shared" si="18"/>
        <v>1575.670131967112</v>
      </c>
      <c r="AH36" s="63">
        <f t="shared" si="33"/>
        <v>158424.32986803289</v>
      </c>
      <c r="AI36" s="63">
        <f t="shared" si="20"/>
        <v>146424.32986803289</v>
      </c>
    </row>
    <row r="37" spans="5:35" x14ac:dyDescent="0.15">
      <c r="G37" s="65"/>
      <c r="I37" s="18"/>
      <c r="J37" s="4"/>
      <c r="K37" s="62"/>
      <c r="L37" s="7" t="str">
        <f t="shared" si="26"/>
        <v/>
      </c>
      <c r="M37" s="43" t="str">
        <f t="shared" si="27"/>
        <v/>
      </c>
      <c r="N37" s="43" t="str">
        <f t="shared" si="28"/>
        <v/>
      </c>
      <c r="P37" s="7" t="str">
        <f t="shared" si="29"/>
        <v/>
      </c>
      <c r="Q37" s="7" t="str">
        <f t="shared" si="15"/>
        <v/>
      </c>
      <c r="R37" s="7" t="str">
        <f t="shared" si="30"/>
        <v/>
      </c>
      <c r="S37" s="7" t="str">
        <f t="shared" si="7"/>
        <v/>
      </c>
      <c r="T37" s="7" t="str">
        <f t="shared" si="8"/>
        <v/>
      </c>
      <c r="V37">
        <f t="shared" si="24"/>
        <v>1400</v>
      </c>
      <c r="W37" s="32">
        <f t="shared" si="24"/>
        <v>1440</v>
      </c>
      <c r="X37" s="32">
        <f t="shared" si="25"/>
        <v>1440</v>
      </c>
      <c r="Y37" s="18" t="b">
        <f t="shared" si="10"/>
        <v>0</v>
      </c>
      <c r="Z37" s="18">
        <f t="shared" si="11"/>
        <v>15.9</v>
      </c>
      <c r="AA37" s="18">
        <f t="shared" si="22"/>
        <v>1359.1</v>
      </c>
      <c r="AB37" s="18">
        <f t="shared" si="23"/>
        <v>1390.9</v>
      </c>
      <c r="AC37" s="18">
        <f t="shared" si="14"/>
        <v>2</v>
      </c>
      <c r="AD37" s="18">
        <f t="shared" si="31"/>
        <v>65.000000000000085</v>
      </c>
      <c r="AE37" s="44">
        <f t="shared" si="32"/>
        <v>0</v>
      </c>
      <c r="AF37" s="44">
        <f t="shared" si="17"/>
        <v>58770.800000000025</v>
      </c>
      <c r="AG37" s="32">
        <f t="shared" si="18"/>
        <v>0</v>
      </c>
      <c r="AH37" s="63">
        <f t="shared" si="33"/>
        <v>160000</v>
      </c>
      <c r="AI37" s="63">
        <f t="shared" si="20"/>
        <v>148000</v>
      </c>
    </row>
    <row r="38" spans="5:35" x14ac:dyDescent="0.15">
      <c r="E38" s="7" t="s">
        <v>148</v>
      </c>
      <c r="F38"/>
      <c r="I38" s="18"/>
      <c r="J38" s="4"/>
      <c r="K38" s="62"/>
      <c r="L38" s="7" t="str">
        <f t="shared" si="26"/>
        <v/>
      </c>
      <c r="M38" s="43" t="str">
        <f t="shared" si="27"/>
        <v/>
      </c>
      <c r="N38" s="43" t="str">
        <f t="shared" si="28"/>
        <v/>
      </c>
      <c r="P38" s="7" t="str">
        <f t="shared" si="29"/>
        <v/>
      </c>
      <c r="Q38" s="7" t="str">
        <f t="shared" si="15"/>
        <v/>
      </c>
      <c r="R38" s="7" t="str">
        <f t="shared" si="30"/>
        <v/>
      </c>
      <c r="S38" s="7" t="str">
        <f t="shared" si="7"/>
        <v/>
      </c>
      <c r="T38" s="7" t="str">
        <f t="shared" si="8"/>
        <v/>
      </c>
      <c r="V38">
        <f t="shared" si="24"/>
        <v>1440</v>
      </c>
      <c r="W38" s="32">
        <f t="shared" si="24"/>
        <v>1480</v>
      </c>
      <c r="X38" s="32">
        <f t="shared" si="25"/>
        <v>1480</v>
      </c>
      <c r="Y38" s="18" t="b">
        <f t="shared" si="10"/>
        <v>0</v>
      </c>
      <c r="Z38" s="18">
        <f t="shared" si="11"/>
        <v>15.9</v>
      </c>
      <c r="AA38" s="18">
        <f t="shared" si="22"/>
        <v>1359.1</v>
      </c>
      <c r="AB38" s="18">
        <f t="shared" si="23"/>
        <v>1390.9</v>
      </c>
      <c r="AC38" s="18">
        <f t="shared" si="14"/>
        <v>2</v>
      </c>
      <c r="AD38" s="18">
        <f t="shared" si="31"/>
        <v>105.00000000000009</v>
      </c>
      <c r="AE38" s="44">
        <f t="shared" si="32"/>
        <v>0</v>
      </c>
      <c r="AF38" s="44">
        <f t="shared" si="17"/>
        <v>58770.800000000025</v>
      </c>
      <c r="AG38" s="32">
        <f t="shared" si="18"/>
        <v>0</v>
      </c>
      <c r="AH38" s="63">
        <f t="shared" si="33"/>
        <v>160000</v>
      </c>
      <c r="AI38" s="63">
        <f t="shared" si="20"/>
        <v>148000</v>
      </c>
    </row>
    <row r="39" spans="5:35" x14ac:dyDescent="0.15">
      <c r="E39" s="18" t="s">
        <v>95</v>
      </c>
      <c r="F39" s="18" t="s">
        <v>149</v>
      </c>
      <c r="G39" t="s">
        <v>109</v>
      </c>
      <c r="I39" s="18"/>
      <c r="J39" s="4"/>
      <c r="K39" s="62"/>
      <c r="L39" s="7" t="str">
        <f t="shared" si="26"/>
        <v/>
      </c>
      <c r="M39" s="43" t="str">
        <f t="shared" si="27"/>
        <v/>
      </c>
      <c r="N39" s="43" t="str">
        <f t="shared" si="28"/>
        <v/>
      </c>
      <c r="P39" s="7" t="str">
        <f t="shared" si="29"/>
        <v/>
      </c>
      <c r="Q39" s="7" t="str">
        <f t="shared" si="15"/>
        <v/>
      </c>
      <c r="R39" s="7" t="str">
        <f t="shared" si="30"/>
        <v/>
      </c>
      <c r="S39" s="7" t="str">
        <f t="shared" si="7"/>
        <v/>
      </c>
      <c r="T39" s="7" t="str">
        <f t="shared" si="8"/>
        <v/>
      </c>
      <c r="V39">
        <f t="shared" si="24"/>
        <v>1480</v>
      </c>
      <c r="W39" s="32">
        <f t="shared" si="24"/>
        <v>1520</v>
      </c>
      <c r="X39" s="32">
        <f t="shared" si="25"/>
        <v>1520</v>
      </c>
      <c r="Y39" s="18" t="b">
        <f t="shared" si="10"/>
        <v>0</v>
      </c>
      <c r="Z39" s="18">
        <f t="shared" si="11"/>
        <v>15.9</v>
      </c>
      <c r="AA39" s="18">
        <f t="shared" si="22"/>
        <v>1484.1</v>
      </c>
      <c r="AB39" s="18">
        <f t="shared" si="23"/>
        <v>1515.9</v>
      </c>
      <c r="AC39" s="18">
        <f t="shared" si="14"/>
        <v>4</v>
      </c>
      <c r="AD39" s="18">
        <f t="shared" si="31"/>
        <v>20.000000000000092</v>
      </c>
      <c r="AE39" s="44">
        <f t="shared" si="32"/>
        <v>0</v>
      </c>
      <c r="AF39" s="44">
        <f t="shared" si="17"/>
        <v>61947.600000000028</v>
      </c>
      <c r="AG39" s="32">
        <f t="shared" si="18"/>
        <v>3176.8000000000029</v>
      </c>
      <c r="AH39" s="63">
        <f t="shared" si="33"/>
        <v>156823.20000000001</v>
      </c>
      <c r="AI39" s="63">
        <f t="shared" si="20"/>
        <v>144823.20000000001</v>
      </c>
    </row>
    <row r="40" spans="5:35" x14ac:dyDescent="0.15">
      <c r="E40" s="18" t="s">
        <v>96</v>
      </c>
      <c r="F40" s="18">
        <v>6.35</v>
      </c>
      <c r="G40" s="18">
        <v>31.67</v>
      </c>
      <c r="I40" s="18"/>
      <c r="J40" s="4"/>
      <c r="K40" s="62"/>
      <c r="L40" s="7" t="str">
        <f t="shared" si="26"/>
        <v/>
      </c>
      <c r="M40" s="43" t="str">
        <f t="shared" si="27"/>
        <v/>
      </c>
      <c r="N40" s="43" t="str">
        <f t="shared" si="28"/>
        <v/>
      </c>
      <c r="P40" s="7" t="str">
        <f t="shared" si="29"/>
        <v/>
      </c>
      <c r="Q40" s="7" t="str">
        <f t="shared" si="15"/>
        <v/>
      </c>
      <c r="R40" s="7" t="str">
        <f t="shared" si="30"/>
        <v/>
      </c>
      <c r="S40" s="7" t="str">
        <f t="shared" si="7"/>
        <v/>
      </c>
      <c r="T40" s="7" t="str">
        <f t="shared" si="8"/>
        <v/>
      </c>
      <c r="V40">
        <f t="shared" si="24"/>
        <v>1520</v>
      </c>
      <c r="W40" s="32">
        <f t="shared" si="24"/>
        <v>1560</v>
      </c>
      <c r="X40" s="32">
        <f t="shared" si="25"/>
        <v>1560</v>
      </c>
      <c r="Y40" s="18" t="b">
        <f t="shared" si="10"/>
        <v>0</v>
      </c>
      <c r="Z40" s="18">
        <f t="shared" si="11"/>
        <v>15.9</v>
      </c>
      <c r="AA40" s="18">
        <f t="shared" si="22"/>
        <v>1484.1</v>
      </c>
      <c r="AB40" s="18">
        <f t="shared" si="23"/>
        <v>1515.9</v>
      </c>
      <c r="AC40" s="18">
        <f t="shared" si="14"/>
        <v>4</v>
      </c>
      <c r="AD40" s="18">
        <f t="shared" si="31"/>
        <v>60.000000000000092</v>
      </c>
      <c r="AE40" s="44">
        <f t="shared" si="32"/>
        <v>0</v>
      </c>
      <c r="AF40" s="44">
        <f t="shared" si="17"/>
        <v>61947.600000000028</v>
      </c>
      <c r="AG40" s="32">
        <f t="shared" si="18"/>
        <v>0</v>
      </c>
      <c r="AH40" s="63">
        <f t="shared" si="33"/>
        <v>160000</v>
      </c>
      <c r="AI40" s="63">
        <f t="shared" si="20"/>
        <v>148000</v>
      </c>
    </row>
    <row r="41" spans="5:35" x14ac:dyDescent="0.15">
      <c r="E41" s="18" t="s">
        <v>97</v>
      </c>
      <c r="F41" s="18">
        <v>9.5299999999999994</v>
      </c>
      <c r="G41" s="18">
        <v>71.33</v>
      </c>
      <c r="I41" s="18"/>
      <c r="J41" s="4"/>
      <c r="K41" s="62"/>
      <c r="L41" s="7" t="str">
        <f t="shared" si="26"/>
        <v/>
      </c>
      <c r="M41" s="43" t="str">
        <f t="shared" si="27"/>
        <v/>
      </c>
      <c r="N41" s="43" t="str">
        <f t="shared" si="28"/>
        <v/>
      </c>
      <c r="P41" s="7" t="str">
        <f t="shared" si="29"/>
        <v/>
      </c>
      <c r="Q41" s="7" t="str">
        <f t="shared" si="15"/>
        <v/>
      </c>
      <c r="R41" s="7" t="str">
        <f t="shared" si="30"/>
        <v/>
      </c>
      <c r="S41" s="7" t="str">
        <f t="shared" si="7"/>
        <v/>
      </c>
      <c r="T41" s="7" t="str">
        <f t="shared" si="8"/>
        <v/>
      </c>
      <c r="V41">
        <f t="shared" si="24"/>
        <v>1560</v>
      </c>
      <c r="W41" s="32">
        <f t="shared" si="24"/>
        <v>1600</v>
      </c>
      <c r="X41" s="32">
        <f t="shared" si="25"/>
        <v>1600</v>
      </c>
      <c r="Y41" s="18" t="b">
        <f t="shared" si="10"/>
        <v>0</v>
      </c>
      <c r="Z41" s="18">
        <f t="shared" si="11"/>
        <v>15.9</v>
      </c>
      <c r="AA41" s="18">
        <f t="shared" si="22"/>
        <v>1484.1</v>
      </c>
      <c r="AB41" s="18">
        <f t="shared" si="23"/>
        <v>1515.9</v>
      </c>
      <c r="AC41" s="18">
        <f t="shared" si="14"/>
        <v>4</v>
      </c>
      <c r="AD41" s="18">
        <f t="shared" si="31"/>
        <v>100.00000000000009</v>
      </c>
      <c r="AE41" s="44">
        <f t="shared" si="32"/>
        <v>0</v>
      </c>
      <c r="AF41" s="44">
        <f t="shared" si="17"/>
        <v>61947.600000000028</v>
      </c>
      <c r="AG41" s="32">
        <f t="shared" si="18"/>
        <v>0</v>
      </c>
      <c r="AH41" s="63">
        <f t="shared" si="33"/>
        <v>160000</v>
      </c>
      <c r="AI41" s="63">
        <f t="shared" si="20"/>
        <v>148000</v>
      </c>
    </row>
    <row r="42" spans="5:35" x14ac:dyDescent="0.15">
      <c r="E42" s="18" t="s">
        <v>98</v>
      </c>
      <c r="F42" s="18">
        <v>12.7</v>
      </c>
      <c r="G42" s="18">
        <v>126.7</v>
      </c>
      <c r="I42" s="18"/>
      <c r="J42" s="4"/>
      <c r="K42" s="62"/>
      <c r="L42" s="7" t="str">
        <f t="shared" si="26"/>
        <v/>
      </c>
      <c r="M42" s="43" t="str">
        <f t="shared" si="27"/>
        <v/>
      </c>
      <c r="N42" s="43" t="str">
        <f t="shared" si="28"/>
        <v/>
      </c>
      <c r="P42" s="7" t="str">
        <f t="shared" si="29"/>
        <v/>
      </c>
      <c r="Q42" s="7" t="str">
        <f t="shared" si="15"/>
        <v/>
      </c>
      <c r="R42" s="7" t="str">
        <f t="shared" si="30"/>
        <v/>
      </c>
      <c r="S42" s="7" t="str">
        <f t="shared" si="7"/>
        <v/>
      </c>
      <c r="T42" s="7" t="str">
        <f t="shared" si="8"/>
        <v/>
      </c>
      <c r="V42">
        <f t="shared" si="24"/>
        <v>1600</v>
      </c>
      <c r="W42" s="32">
        <f t="shared" si="24"/>
        <v>1640</v>
      </c>
      <c r="X42" s="32">
        <f t="shared" si="25"/>
        <v>1640</v>
      </c>
      <c r="Y42" s="18" t="b">
        <f t="shared" si="10"/>
        <v>0</v>
      </c>
      <c r="Z42" s="18">
        <f t="shared" si="11"/>
        <v>15.9</v>
      </c>
      <c r="AA42" s="18">
        <f t="shared" si="22"/>
        <v>1609.1</v>
      </c>
      <c r="AB42" s="18">
        <f t="shared" si="23"/>
        <v>1640.9</v>
      </c>
      <c r="AC42" s="18">
        <f t="shared" si="14"/>
        <v>2</v>
      </c>
      <c r="AD42" s="18">
        <f t="shared" si="31"/>
        <v>15.000000000000091</v>
      </c>
      <c r="AE42" s="44">
        <f t="shared" si="32"/>
        <v>1575.7222094751864</v>
      </c>
      <c r="AF42" s="44">
        <f t="shared" si="17"/>
        <v>63523.322209475213</v>
      </c>
      <c r="AG42" s="32">
        <f t="shared" si="18"/>
        <v>1575.7222094751851</v>
      </c>
      <c r="AH42" s="63">
        <f t="shared" si="33"/>
        <v>158424.27779052482</v>
      </c>
      <c r="AI42" s="63">
        <f t="shared" si="20"/>
        <v>146424.27779052482</v>
      </c>
    </row>
    <row r="43" spans="5:35" x14ac:dyDescent="0.15">
      <c r="E43" s="18" t="s">
        <v>99</v>
      </c>
      <c r="F43" s="18">
        <v>15.9</v>
      </c>
      <c r="G43" s="18">
        <v>198.6</v>
      </c>
      <c r="I43" s="18"/>
      <c r="J43" s="4"/>
      <c r="K43" s="62"/>
      <c r="L43" s="7" t="str">
        <f t="shared" si="26"/>
        <v/>
      </c>
      <c r="M43" s="43" t="str">
        <f t="shared" si="27"/>
        <v/>
      </c>
      <c r="N43" s="43" t="str">
        <f t="shared" si="28"/>
        <v/>
      </c>
      <c r="P43" s="7" t="str">
        <f t="shared" si="29"/>
        <v/>
      </c>
      <c r="Q43" s="7" t="str">
        <f t="shared" si="15"/>
        <v/>
      </c>
      <c r="R43" s="7" t="str">
        <f t="shared" si="30"/>
        <v/>
      </c>
      <c r="S43" s="7" t="str">
        <f t="shared" si="7"/>
        <v/>
      </c>
      <c r="T43" s="7" t="str">
        <f t="shared" si="8"/>
        <v/>
      </c>
      <c r="V43">
        <f t="shared" si="24"/>
        <v>1640</v>
      </c>
      <c r="W43" s="32">
        <f t="shared" si="24"/>
        <v>1680</v>
      </c>
      <c r="X43" s="32">
        <f t="shared" si="25"/>
        <v>1680</v>
      </c>
      <c r="Y43" s="18" t="b">
        <f t="shared" si="10"/>
        <v>0</v>
      </c>
      <c r="Z43" s="18">
        <f t="shared" si="11"/>
        <v>15.9</v>
      </c>
      <c r="AA43" s="18">
        <f t="shared" si="22"/>
        <v>1609.1</v>
      </c>
      <c r="AB43" s="18">
        <f t="shared" si="23"/>
        <v>1640.9</v>
      </c>
      <c r="AC43" s="18">
        <f t="shared" si="14"/>
        <v>2</v>
      </c>
      <c r="AD43" s="18">
        <f t="shared" si="31"/>
        <v>55.000000000000092</v>
      </c>
      <c r="AE43" s="44">
        <f t="shared" si="32"/>
        <v>0</v>
      </c>
      <c r="AF43" s="44">
        <f t="shared" si="17"/>
        <v>63536.000000000029</v>
      </c>
      <c r="AG43" s="32">
        <f t="shared" si="18"/>
        <v>12.677790524816373</v>
      </c>
      <c r="AH43" s="63">
        <f t="shared" si="33"/>
        <v>159987.32220947518</v>
      </c>
      <c r="AI43" s="63">
        <f t="shared" si="20"/>
        <v>147987.32220947518</v>
      </c>
    </row>
    <row r="44" spans="5:35" x14ac:dyDescent="0.15">
      <c r="E44" s="18" t="s">
        <v>100</v>
      </c>
      <c r="F44" s="18">
        <v>19.100000000000001</v>
      </c>
      <c r="G44" s="18">
        <v>286.5</v>
      </c>
      <c r="I44" s="18"/>
      <c r="J44" s="4"/>
      <c r="K44" s="62"/>
      <c r="L44" s="7" t="str">
        <f t="shared" si="26"/>
        <v/>
      </c>
      <c r="M44" s="43" t="str">
        <f t="shared" si="27"/>
        <v/>
      </c>
      <c r="N44" s="43" t="str">
        <f t="shared" si="28"/>
        <v/>
      </c>
      <c r="P44" s="7" t="str">
        <f t="shared" si="29"/>
        <v/>
      </c>
      <c r="Q44" s="7" t="str">
        <f t="shared" si="15"/>
        <v/>
      </c>
      <c r="R44" s="7" t="str">
        <f t="shared" si="30"/>
        <v/>
      </c>
      <c r="S44" s="7" t="str">
        <f t="shared" si="7"/>
        <v/>
      </c>
      <c r="T44" s="7" t="str">
        <f t="shared" si="8"/>
        <v/>
      </c>
      <c r="V44">
        <f t="shared" si="24"/>
        <v>1680</v>
      </c>
      <c r="W44" s="32">
        <f t="shared" si="24"/>
        <v>1720</v>
      </c>
      <c r="X44" s="32">
        <f t="shared" si="25"/>
        <v>1720</v>
      </c>
      <c r="Y44" s="18" t="b">
        <f t="shared" si="10"/>
        <v>0</v>
      </c>
      <c r="Z44" s="18">
        <f t="shared" si="11"/>
        <v>15.9</v>
      </c>
      <c r="AA44" s="18">
        <f t="shared" si="22"/>
        <v>1609.1</v>
      </c>
      <c r="AB44" s="18">
        <f t="shared" si="23"/>
        <v>1640.9</v>
      </c>
      <c r="AC44" s="18">
        <f t="shared" si="14"/>
        <v>2</v>
      </c>
      <c r="AD44" s="18">
        <f t="shared" si="31"/>
        <v>95.000000000000085</v>
      </c>
      <c r="AE44" s="44">
        <f t="shared" si="32"/>
        <v>0</v>
      </c>
      <c r="AF44" s="44">
        <f t="shared" si="17"/>
        <v>63536.000000000029</v>
      </c>
      <c r="AG44" s="32">
        <f t="shared" si="18"/>
        <v>0</v>
      </c>
      <c r="AH44" s="63">
        <f t="shared" si="33"/>
        <v>160000</v>
      </c>
      <c r="AI44" s="63">
        <f t="shared" si="20"/>
        <v>148000</v>
      </c>
    </row>
    <row r="45" spans="5:35" x14ac:dyDescent="0.15">
      <c r="E45" s="18" t="s">
        <v>101</v>
      </c>
      <c r="F45" s="18">
        <v>22.2</v>
      </c>
      <c r="G45" s="18">
        <v>387.1</v>
      </c>
      <c r="L45" s="7" t="str">
        <f t="shared" si="26"/>
        <v/>
      </c>
      <c r="M45" s="43" t="str">
        <f t="shared" si="27"/>
        <v/>
      </c>
      <c r="N45" s="43" t="str">
        <f t="shared" si="28"/>
        <v/>
      </c>
      <c r="P45" s="7" t="str">
        <f t="shared" si="29"/>
        <v/>
      </c>
      <c r="Q45" s="7" t="str">
        <f t="shared" si="15"/>
        <v/>
      </c>
      <c r="R45" s="7" t="str">
        <f t="shared" si="30"/>
        <v/>
      </c>
      <c r="S45" s="7" t="str">
        <f t="shared" si="7"/>
        <v/>
      </c>
      <c r="T45" s="7" t="str">
        <f t="shared" si="8"/>
        <v/>
      </c>
      <c r="V45">
        <f t="shared" si="24"/>
        <v>1720</v>
      </c>
      <c r="W45" s="32">
        <f t="shared" si="24"/>
        <v>1760</v>
      </c>
      <c r="X45" s="36">
        <f>(W45-X44)/2+X44</f>
        <v>1740</v>
      </c>
      <c r="Y45" s="18" t="b">
        <f t="shared" si="10"/>
        <v>0</v>
      </c>
      <c r="Z45" s="18">
        <f t="shared" si="11"/>
        <v>15.9</v>
      </c>
      <c r="AA45" s="18">
        <f t="shared" si="22"/>
        <v>1734.1</v>
      </c>
      <c r="AB45" s="18">
        <f t="shared" si="23"/>
        <v>1765.9</v>
      </c>
      <c r="AC45" s="18">
        <f t="shared" si="14"/>
        <v>17</v>
      </c>
      <c r="AD45" s="18">
        <f t="shared" si="31"/>
        <v>10.000000000000091</v>
      </c>
      <c r="AE45" s="44">
        <f t="shared" si="32"/>
        <v>11775.644404776222</v>
      </c>
      <c r="AF45" s="44">
        <f t="shared" si="17"/>
        <v>75311.644404776249</v>
      </c>
      <c r="AG45" s="32">
        <f t="shared" si="18"/>
        <v>11775.64440477622</v>
      </c>
      <c r="AH45" s="63">
        <f t="shared" si="33"/>
        <v>148224.35559522378</v>
      </c>
      <c r="AI45" s="63">
        <f t="shared" si="20"/>
        <v>136224.35559522378</v>
      </c>
    </row>
    <row r="46" spans="5:35" x14ac:dyDescent="0.15">
      <c r="E46" s="18" t="s">
        <v>102</v>
      </c>
      <c r="F46" s="18">
        <v>25.4</v>
      </c>
      <c r="G46" s="18">
        <v>506.7</v>
      </c>
      <c r="L46" s="7" t="str">
        <f t="shared" si="26"/>
        <v/>
      </c>
      <c r="M46" s="43" t="str">
        <f t="shared" si="27"/>
        <v/>
      </c>
      <c r="N46" s="43" t="str">
        <f t="shared" si="28"/>
        <v/>
      </c>
      <c r="P46" s="7" t="str">
        <f t="shared" si="29"/>
        <v/>
      </c>
      <c r="Q46" s="7" t="str">
        <f t="shared" si="15"/>
        <v/>
      </c>
      <c r="R46" s="7" t="str">
        <f t="shared" si="30"/>
        <v/>
      </c>
      <c r="S46" s="7" t="str">
        <f t="shared" si="7"/>
        <v/>
      </c>
      <c r="T46" s="7" t="str">
        <f t="shared" si="8"/>
        <v/>
      </c>
      <c r="V46">
        <f t="shared" si="24"/>
        <v>1760</v>
      </c>
      <c r="W46" s="32">
        <f t="shared" si="24"/>
        <v>1800</v>
      </c>
      <c r="X46" s="36">
        <f t="shared" ref="X46:X51" si="34">(W46-W45)/2+W45</f>
        <v>1780</v>
      </c>
      <c r="Y46" s="18" t="b">
        <f t="shared" si="10"/>
        <v>0</v>
      </c>
      <c r="Z46" s="18">
        <f t="shared" si="11"/>
        <v>15.9</v>
      </c>
      <c r="AA46" s="18">
        <f t="shared" si="22"/>
        <v>1734.1</v>
      </c>
      <c r="AB46" s="18">
        <f t="shared" si="23"/>
        <v>1765.9</v>
      </c>
      <c r="AC46" s="18">
        <f t="shared" si="14"/>
        <v>17</v>
      </c>
      <c r="AD46" s="18">
        <f t="shared" si="31"/>
        <v>50.000000000000092</v>
      </c>
      <c r="AE46" s="44">
        <f t="shared" si="32"/>
        <v>0</v>
      </c>
      <c r="AF46" s="44">
        <f t="shared" si="17"/>
        <v>77037.400000000023</v>
      </c>
      <c r="AG46" s="32">
        <f t="shared" si="18"/>
        <v>1725.7555952237744</v>
      </c>
      <c r="AH46" s="63">
        <f t="shared" si="33"/>
        <v>158274.24440477623</v>
      </c>
      <c r="AI46" s="63">
        <f t="shared" si="20"/>
        <v>146274.24440477623</v>
      </c>
    </row>
    <row r="47" spans="5:35" x14ac:dyDescent="0.15">
      <c r="E47" s="18" t="s">
        <v>103</v>
      </c>
      <c r="F47" s="18">
        <v>28.6</v>
      </c>
      <c r="G47" s="18">
        <v>642.4</v>
      </c>
      <c r="L47" s="7" t="str">
        <f t="shared" si="26"/>
        <v/>
      </c>
      <c r="M47" s="43" t="str">
        <f t="shared" si="27"/>
        <v/>
      </c>
      <c r="N47" s="43" t="str">
        <f t="shared" si="28"/>
        <v/>
      </c>
      <c r="P47" s="7" t="str">
        <f t="shared" si="29"/>
        <v/>
      </c>
      <c r="Q47" s="7" t="str">
        <f t="shared" si="15"/>
        <v/>
      </c>
      <c r="R47" s="7" t="str">
        <f t="shared" si="30"/>
        <v/>
      </c>
      <c r="S47" s="7" t="str">
        <f t="shared" si="7"/>
        <v/>
      </c>
      <c r="T47" s="7" t="str">
        <f t="shared" si="8"/>
        <v/>
      </c>
      <c r="V47">
        <f t="shared" si="24"/>
        <v>1800</v>
      </c>
      <c r="W47" s="32">
        <f t="shared" si="24"/>
        <v>1840</v>
      </c>
      <c r="X47" s="36">
        <f t="shared" si="34"/>
        <v>1820</v>
      </c>
      <c r="Y47" s="18" t="b">
        <f t="shared" si="10"/>
        <v>0</v>
      </c>
      <c r="Z47" s="18">
        <f t="shared" si="11"/>
        <v>15.9</v>
      </c>
      <c r="AA47" s="18">
        <f t="shared" si="22"/>
        <v>1834.1</v>
      </c>
      <c r="AB47" s="18">
        <f t="shared" si="23"/>
        <v>1865.9</v>
      </c>
      <c r="AC47" s="18">
        <f t="shared" si="14"/>
        <v>31</v>
      </c>
      <c r="AD47" s="18">
        <f t="shared" si="31"/>
        <v>10</v>
      </c>
      <c r="AE47" s="44">
        <f t="shared" si="32"/>
        <v>3147.7732867832378</v>
      </c>
      <c r="AF47" s="44">
        <f t="shared" si="17"/>
        <v>80185.173286783262</v>
      </c>
      <c r="AG47" s="32">
        <f t="shared" si="18"/>
        <v>3147.7732867832383</v>
      </c>
      <c r="AH47" s="63">
        <f t="shared" si="33"/>
        <v>156852.22671321675</v>
      </c>
      <c r="AI47" s="63">
        <f t="shared" si="20"/>
        <v>144852.22671321675</v>
      </c>
    </row>
    <row r="48" spans="5:35" x14ac:dyDescent="0.15">
      <c r="E48" s="18" t="s">
        <v>104</v>
      </c>
      <c r="F48" s="18">
        <v>31.8</v>
      </c>
      <c r="G48" s="18">
        <v>794.2</v>
      </c>
      <c r="L48" s="7" t="str">
        <f t="shared" si="26"/>
        <v/>
      </c>
      <c r="M48" s="43" t="str">
        <f t="shared" si="27"/>
        <v/>
      </c>
      <c r="N48" s="43" t="str">
        <f t="shared" si="28"/>
        <v/>
      </c>
      <c r="P48" s="7" t="str">
        <f t="shared" si="29"/>
        <v/>
      </c>
      <c r="Q48" s="7" t="str">
        <f t="shared" si="15"/>
        <v/>
      </c>
      <c r="R48" s="7" t="str">
        <f t="shared" si="30"/>
        <v/>
      </c>
      <c r="S48" s="7" t="str">
        <f t="shared" si="7"/>
        <v/>
      </c>
      <c r="T48" s="7" t="str">
        <f t="shared" si="8"/>
        <v/>
      </c>
      <c r="V48">
        <f t="shared" si="24"/>
        <v>1840</v>
      </c>
      <c r="W48" s="32">
        <f t="shared" si="24"/>
        <v>1880</v>
      </c>
      <c r="X48" s="36">
        <f t="shared" si="34"/>
        <v>1860</v>
      </c>
      <c r="Y48" s="18" t="b">
        <f t="shared" si="10"/>
        <v>0</v>
      </c>
      <c r="Z48" s="18">
        <f t="shared" si="11"/>
        <v>15.9</v>
      </c>
      <c r="AA48" s="18">
        <f t="shared" si="22"/>
        <v>1834.1</v>
      </c>
      <c r="AB48" s="18">
        <f t="shared" si="23"/>
        <v>1865.9</v>
      </c>
      <c r="AC48" s="18">
        <f t="shared" si="14"/>
        <v>31</v>
      </c>
      <c r="AD48" s="18">
        <f t="shared" si="31"/>
        <v>30.000000000000092</v>
      </c>
      <c r="AE48" s="44">
        <f t="shared" si="32"/>
        <v>0</v>
      </c>
      <c r="AF48" s="44">
        <f t="shared" si="17"/>
        <v>101657.60000000002</v>
      </c>
      <c r="AG48" s="32">
        <f t="shared" si="18"/>
        <v>21472.426713216759</v>
      </c>
      <c r="AH48" s="63">
        <f t="shared" si="33"/>
        <v>138527.57328678324</v>
      </c>
      <c r="AI48" s="63">
        <f t="shared" si="20"/>
        <v>15527.573286783241</v>
      </c>
    </row>
    <row r="49" spans="5:35" x14ac:dyDescent="0.15">
      <c r="E49" s="18" t="s">
        <v>105</v>
      </c>
      <c r="F49" s="18">
        <v>34.9</v>
      </c>
      <c r="G49" s="18">
        <v>956.6</v>
      </c>
      <c r="L49" s="7" t="str">
        <f t="shared" si="26"/>
        <v/>
      </c>
      <c r="M49" s="43" t="str">
        <f t="shared" si="27"/>
        <v/>
      </c>
      <c r="N49" s="43" t="str">
        <f t="shared" si="28"/>
        <v/>
      </c>
      <c r="P49" s="7" t="str">
        <f t="shared" si="29"/>
        <v/>
      </c>
      <c r="Q49" s="7" t="str">
        <f t="shared" si="15"/>
        <v/>
      </c>
      <c r="R49" s="7" t="str">
        <f t="shared" si="30"/>
        <v/>
      </c>
      <c r="S49" s="7" t="str">
        <f t="shared" si="7"/>
        <v/>
      </c>
      <c r="T49" s="7" t="str">
        <f t="shared" si="8"/>
        <v/>
      </c>
      <c r="V49">
        <f t="shared" si="24"/>
        <v>1880</v>
      </c>
      <c r="W49" s="32">
        <f t="shared" si="24"/>
        <v>1920</v>
      </c>
      <c r="X49" s="36">
        <f t="shared" si="34"/>
        <v>1900</v>
      </c>
      <c r="Y49" s="18" t="b">
        <f t="shared" si="10"/>
        <v>0</v>
      </c>
      <c r="Z49" s="18">
        <f t="shared" si="11"/>
        <v>15.9</v>
      </c>
      <c r="AA49" s="18">
        <f t="shared" si="22"/>
        <v>1834.1</v>
      </c>
      <c r="AB49" s="18">
        <f t="shared" si="23"/>
        <v>1865.9</v>
      </c>
      <c r="AC49" s="18">
        <f t="shared" si="14"/>
        <v>31</v>
      </c>
      <c r="AD49" s="18">
        <f t="shared" si="31"/>
        <v>70.000000000000085</v>
      </c>
      <c r="AE49" s="44">
        <f t="shared" si="32"/>
        <v>0</v>
      </c>
      <c r="AF49" s="44">
        <f t="shared" si="17"/>
        <v>101657.60000000002</v>
      </c>
      <c r="AG49" s="32">
        <f t="shared" si="18"/>
        <v>0</v>
      </c>
      <c r="AH49" s="63">
        <f t="shared" si="33"/>
        <v>160000</v>
      </c>
      <c r="AI49" s="63">
        <f t="shared" si="20"/>
        <v>0</v>
      </c>
    </row>
    <row r="50" spans="5:35" x14ac:dyDescent="0.15">
      <c r="E50" s="18" t="s">
        <v>106</v>
      </c>
      <c r="F50" s="18">
        <v>38.1</v>
      </c>
      <c r="G50" s="18">
        <v>1140</v>
      </c>
      <c r="L50" s="7" t="str">
        <f t="shared" si="26"/>
        <v/>
      </c>
      <c r="M50" s="43" t="str">
        <f t="shared" si="27"/>
        <v/>
      </c>
      <c r="N50" s="43" t="str">
        <f t="shared" si="28"/>
        <v/>
      </c>
      <c r="P50" s="7" t="str">
        <f t="shared" si="29"/>
        <v/>
      </c>
      <c r="Q50" s="7" t="str">
        <f t="shared" si="15"/>
        <v/>
      </c>
      <c r="R50" s="7" t="str">
        <f t="shared" si="30"/>
        <v/>
      </c>
      <c r="S50" s="7" t="str">
        <f t="shared" si="7"/>
        <v/>
      </c>
      <c r="T50" s="7" t="str">
        <f t="shared" si="8"/>
        <v/>
      </c>
      <c r="V50">
        <f t="shared" si="24"/>
        <v>1920</v>
      </c>
      <c r="W50" s="32">
        <f t="shared" si="24"/>
        <v>1960</v>
      </c>
      <c r="X50" s="36">
        <f t="shared" si="34"/>
        <v>1940</v>
      </c>
      <c r="Y50" s="18" t="b">
        <f t="shared" si="10"/>
        <v>0</v>
      </c>
      <c r="Z50" s="18">
        <f t="shared" si="11"/>
        <v>15.9</v>
      </c>
      <c r="AA50" s="18">
        <f t="shared" si="22"/>
        <v>1834.1</v>
      </c>
      <c r="AB50" s="18">
        <f t="shared" si="23"/>
        <v>1865.9</v>
      </c>
      <c r="AC50" s="18">
        <f t="shared" si="14"/>
        <v>31</v>
      </c>
      <c r="AD50" s="18">
        <f t="shared" si="31"/>
        <v>110.00000000000009</v>
      </c>
      <c r="AE50" s="44">
        <f t="shared" si="32"/>
        <v>0</v>
      </c>
      <c r="AF50" s="44">
        <f t="shared" si="17"/>
        <v>101657.60000000002</v>
      </c>
      <c r="AG50" s="32">
        <f t="shared" si="18"/>
        <v>0</v>
      </c>
      <c r="AH50" s="63">
        <f t="shared" si="33"/>
        <v>160000</v>
      </c>
      <c r="AI50" s="63">
        <f t="shared" si="20"/>
        <v>0</v>
      </c>
    </row>
    <row r="51" spans="5:35" x14ac:dyDescent="0.15">
      <c r="E51" s="18" t="s">
        <v>107</v>
      </c>
      <c r="F51" s="18">
        <v>41.3</v>
      </c>
      <c r="G51" s="18">
        <v>1340</v>
      </c>
      <c r="L51" s="7" t="str">
        <f t="shared" si="26"/>
        <v/>
      </c>
      <c r="M51" s="43" t="str">
        <f t="shared" si="27"/>
        <v/>
      </c>
      <c r="N51" s="43" t="str">
        <f t="shared" si="28"/>
        <v/>
      </c>
      <c r="P51" s="7" t="str">
        <f t="shared" si="29"/>
        <v/>
      </c>
      <c r="Q51" s="7" t="str">
        <f t="shared" si="15"/>
        <v/>
      </c>
      <c r="R51" s="7" t="str">
        <f t="shared" si="30"/>
        <v/>
      </c>
      <c r="S51" s="7" t="str">
        <f t="shared" si="7"/>
        <v/>
      </c>
      <c r="T51" s="7" t="str">
        <f t="shared" si="8"/>
        <v/>
      </c>
      <c r="V51">
        <f t="shared" si="24"/>
        <v>1960</v>
      </c>
      <c r="W51" s="32">
        <f t="shared" si="24"/>
        <v>2000</v>
      </c>
      <c r="X51" s="36">
        <f t="shared" si="34"/>
        <v>1980</v>
      </c>
      <c r="Y51" s="18" t="b">
        <f t="shared" si="10"/>
        <v>0</v>
      </c>
      <c r="Z51" s="18">
        <f t="shared" si="11"/>
        <v>15.9</v>
      </c>
      <c r="AA51" s="18">
        <f t="shared" si="22"/>
        <v>1834.1</v>
      </c>
      <c r="AB51" s="18">
        <f t="shared" si="23"/>
        <v>1865.9</v>
      </c>
      <c r="AC51" s="18">
        <f t="shared" si="14"/>
        <v>31</v>
      </c>
      <c r="AD51" s="18">
        <f t="shared" si="31"/>
        <v>150.00000000000009</v>
      </c>
      <c r="AE51" s="44">
        <f t="shared" si="32"/>
        <v>0</v>
      </c>
      <c r="AF51" s="44">
        <f t="shared" si="17"/>
        <v>101657.60000000002</v>
      </c>
      <c r="AG51" s="32">
        <f t="shared" si="18"/>
        <v>0</v>
      </c>
      <c r="AH51" s="63">
        <f t="shared" si="33"/>
        <v>160000</v>
      </c>
      <c r="AI51" s="63">
        <f t="shared" si="20"/>
        <v>0</v>
      </c>
    </row>
    <row r="52" spans="5:35" x14ac:dyDescent="0.15">
      <c r="E52" s="18" t="s">
        <v>108</v>
      </c>
      <c r="F52" s="18">
        <v>50.8</v>
      </c>
      <c r="G52" s="18">
        <v>2027</v>
      </c>
    </row>
  </sheetData>
  <phoneticPr fontId="3"/>
  <dataValidations count="1">
    <dataValidation type="list" allowBlank="1" showInputMessage="1" showErrorMessage="1" sqref="K2:K51">
      <formula1>$E$40:$E$52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B7" sqref="B7"/>
    </sheetView>
  </sheetViews>
  <sheetFormatPr defaultColWidth="8.875" defaultRowHeight="13.5" x14ac:dyDescent="0.15"/>
  <cols>
    <col min="1" max="1" width="16" style="7" customWidth="1"/>
    <col min="2" max="2" width="17.125" bestFit="1" customWidth="1"/>
    <col min="4" max="5" width="9.125" customWidth="1"/>
    <col min="6" max="6" width="9.125" style="87" customWidth="1"/>
    <col min="7" max="9" width="9.125" customWidth="1"/>
    <col min="10" max="10" width="3.125" customWidth="1"/>
    <col min="11" max="12" width="9.125" customWidth="1"/>
    <col min="13" max="13" width="9.125" style="87" customWidth="1"/>
    <col min="14" max="16" width="9.125" customWidth="1"/>
  </cols>
  <sheetData>
    <row r="1" spans="1:16" ht="60.75" customHeight="1" x14ac:dyDescent="0.15">
      <c r="A1" s="7" t="s">
        <v>111</v>
      </c>
      <c r="D1" s="17" t="s">
        <v>83</v>
      </c>
      <c r="E1" s="17" t="s">
        <v>85</v>
      </c>
      <c r="F1" s="86" t="s">
        <v>86</v>
      </c>
      <c r="G1" s="17" t="s">
        <v>87</v>
      </c>
      <c r="H1" s="17" t="s">
        <v>88</v>
      </c>
      <c r="I1" s="17" t="s">
        <v>254</v>
      </c>
      <c r="K1" s="17" t="s">
        <v>249</v>
      </c>
      <c r="L1" s="17" t="s">
        <v>250</v>
      </c>
      <c r="M1" s="86" t="s">
        <v>86</v>
      </c>
      <c r="N1" s="17" t="s">
        <v>251</v>
      </c>
      <c r="O1" s="17" t="s">
        <v>252</v>
      </c>
      <c r="P1" s="17" t="s">
        <v>253</v>
      </c>
    </row>
    <row r="2" spans="1:16" x14ac:dyDescent="0.15">
      <c r="A2" s="26" t="s">
        <v>72</v>
      </c>
      <c r="B2" s="35">
        <f>入力!D18</f>
        <v>150</v>
      </c>
      <c r="C2" s="26" t="s">
        <v>13</v>
      </c>
      <c r="D2">
        <f>入力!X2</f>
        <v>20</v>
      </c>
      <c r="E2">
        <f>入力!AH2</f>
        <v>160000</v>
      </c>
      <c r="F2" s="87">
        <f t="shared" ref="F2:F33" si="0">$B$3+$B$15*(D2-$B$2)</f>
        <v>-1.9013823777878519E-3</v>
      </c>
      <c r="G2">
        <f>IF(F2&lt;=0,0,IF(F2&lt;=入力!$H$23,入力!$D$24*F2*(1-((F2/入力!$H$23)^(入力!$H$27-1))/入力!$H$27),IF(F2&lt;=入力!$H$26,入力!$H$24-入力!$H$25*(F2-入力!$H$23),0)))</f>
        <v>0</v>
      </c>
      <c r="H2">
        <f t="shared" ref="H2:H33" si="1">E2*G2</f>
        <v>0</v>
      </c>
      <c r="I2">
        <f>H2*(入力!$D$3/2-D2)</f>
        <v>0</v>
      </c>
      <c r="K2">
        <f>IF(入力!J2="","",入力!J2)</f>
        <v>150</v>
      </c>
      <c r="L2">
        <f>入力!P2</f>
        <v>24620.2</v>
      </c>
      <c r="M2" s="87">
        <f>IF(入力!J2="","",$B$3+$B$15*(K2-$B$2))</f>
        <v>-1.725E-3</v>
      </c>
      <c r="N2">
        <f>IF(入力!J2="","",IF(M2&lt;-入力!$H$19,-入力!$D$12,IF(M2&gt;入力!$H$19,入力!$D$12,入力!$D$17*M2)))</f>
        <v>-345</v>
      </c>
      <c r="O2">
        <f>IF(入力!J2="","",L2*N2)</f>
        <v>-8493969</v>
      </c>
      <c r="P2">
        <f>IF(入力!J2="","",O2*(入力!$D$3/2-K2))</f>
        <v>-7219873650</v>
      </c>
    </row>
    <row r="3" spans="1:16" x14ac:dyDescent="0.15">
      <c r="A3" s="26" t="s">
        <v>110</v>
      </c>
      <c r="B3" s="27">
        <f>-入力!H19</f>
        <v>-1.725E-3</v>
      </c>
      <c r="C3" s="28"/>
      <c r="D3">
        <f>入力!X3</f>
        <v>60</v>
      </c>
      <c r="E3">
        <f>入力!AH3</f>
        <v>160000</v>
      </c>
      <c r="F3" s="87">
        <f t="shared" si="0"/>
        <v>-1.8471108769300513E-3</v>
      </c>
      <c r="G3">
        <f>IF(F3&lt;=0,0,IF(F3&lt;=入力!$H$23,入力!$D$24*F3*(1-((F3/入力!$H$23)^(入力!$H$27-1))/入力!$H$27),IF(F3&lt;=入力!$H$26,入力!$H$24-入力!$H$25*(F3-入力!$H$23),0)))</f>
        <v>0</v>
      </c>
      <c r="H3">
        <f t="shared" si="1"/>
        <v>0</v>
      </c>
      <c r="I3">
        <f>H3*(入力!$D$3/2-D3)</f>
        <v>0</v>
      </c>
      <c r="K3">
        <f>IF(入力!J3="","",入力!J3)</f>
        <v>250</v>
      </c>
      <c r="L3">
        <f>入力!P3</f>
        <v>13501.400000000001</v>
      </c>
      <c r="M3" s="87">
        <f>IF(入力!J3="","",$B$3+$B$15*(K3-$B$2))</f>
        <v>-1.5893212478554984E-3</v>
      </c>
      <c r="N3">
        <f>IF(入力!J3="","",IF(M3&lt;-入力!$H$19,-入力!$D$12,IF(M3&gt;入力!$H$19,入力!$D$12,入力!$D$17*M3)))</f>
        <v>-317.86424957109966</v>
      </c>
      <c r="O3">
        <f>IF(入力!J3="","",L3*N3)</f>
        <v>-4291612.3791592456</v>
      </c>
      <c r="P3">
        <f>IF(入力!J3="","",O3*(入力!$D$3/2-K3))</f>
        <v>-3218709284.3694344</v>
      </c>
    </row>
    <row r="4" spans="1:16" x14ac:dyDescent="0.15">
      <c r="A4" s="26" t="s">
        <v>125</v>
      </c>
      <c r="B4" s="28">
        <f>(SUM(H2:H51)+SUM(O2:O51))/1000</f>
        <v>7999.9999999497513</v>
      </c>
      <c r="C4" s="28" t="s">
        <v>75</v>
      </c>
      <c r="D4">
        <f>入力!X4</f>
        <v>100</v>
      </c>
      <c r="E4">
        <f>入力!AH4</f>
        <v>160000</v>
      </c>
      <c r="F4" s="87">
        <f t="shared" si="0"/>
        <v>-1.7928393760722507E-3</v>
      </c>
      <c r="G4">
        <f>IF(F4&lt;=0,0,IF(F4&lt;=入力!$H$23,入力!$D$24*F4*(1-((F4/入力!$H$23)^(入力!$H$27-1))/入力!$H$27),IF(F4&lt;=入力!$H$26,入力!$H$24-入力!$H$25*(F4-入力!$H$23),0)))</f>
        <v>0</v>
      </c>
      <c r="H4">
        <f t="shared" si="1"/>
        <v>0</v>
      </c>
      <c r="I4">
        <f>H4*(入力!$D$3/2-D4)</f>
        <v>0</v>
      </c>
      <c r="K4">
        <f>IF(入力!J4="","",入力!J4)</f>
        <v>375</v>
      </c>
      <c r="L4">
        <f>入力!P4</f>
        <v>1588.4</v>
      </c>
      <c r="M4" s="87">
        <f>IF(入力!J4="","",$B$3+$B$15*(K4-$B$2))</f>
        <v>-1.4197228076748714E-3</v>
      </c>
      <c r="N4">
        <f>IF(入力!J4="","",IF(M4&lt;-入力!$H$19,-入力!$D$12,IF(M4&gt;入力!$H$19,入力!$D$12,入力!$D$17*M4)))</f>
        <v>-283.9445615349743</v>
      </c>
      <c r="O4">
        <f>IF(入力!J4="","",L4*N4)</f>
        <v>-451017.54154215322</v>
      </c>
      <c r="P4">
        <f>IF(入力!J4="","",O4*(入力!$D$3/2-K4))</f>
        <v>-281885963.46384579</v>
      </c>
    </row>
    <row r="5" spans="1:16" x14ac:dyDescent="0.15">
      <c r="A5" s="28" t="s">
        <v>73</v>
      </c>
      <c r="B5" s="28">
        <f>入力!H7</f>
        <v>8000</v>
      </c>
      <c r="C5" s="28" t="s">
        <v>75</v>
      </c>
      <c r="D5">
        <f>入力!X5</f>
        <v>140</v>
      </c>
      <c r="E5">
        <f>入力!AH5</f>
        <v>138526.76608540813</v>
      </c>
      <c r="F5" s="87">
        <f t="shared" si="0"/>
        <v>-1.7385678752144501E-3</v>
      </c>
      <c r="G5">
        <f>IF(F5&lt;=0,0,IF(F5&lt;=入力!$H$23,入力!$D$24*F5*(1-((F5/入力!$H$23)^(入力!$H$27-1))/入力!$H$27),IF(F5&lt;=入力!$H$26,入力!$H$24-入力!$H$25*(F5-入力!$H$23),0)))</f>
        <v>0</v>
      </c>
      <c r="H5">
        <f t="shared" si="1"/>
        <v>0</v>
      </c>
      <c r="I5">
        <f>H5*(入力!$D$3/2-D5)</f>
        <v>0</v>
      </c>
      <c r="K5">
        <f>IF(入力!J5="","",入力!J5)</f>
        <v>500</v>
      </c>
      <c r="L5">
        <f>入力!P5</f>
        <v>3176.8</v>
      </c>
      <c r="M5" s="87">
        <f>IF(入力!J5="","",$B$3+$B$15*(K5-$B$2))</f>
        <v>-1.2501243674942447E-3</v>
      </c>
      <c r="N5">
        <f>IF(入力!J5="","",IF(M5&lt;-入力!$H$19,-入力!$D$12,IF(M5&gt;入力!$H$19,入力!$D$12,入力!$D$17*M5)))</f>
        <v>-250.02487349884893</v>
      </c>
      <c r="O5">
        <f>IF(入力!J5="","",L5*N5)</f>
        <v>-794279.0181311433</v>
      </c>
      <c r="P5">
        <f>IF(入力!J5="","",O5*(入力!$D$3/2-K5))</f>
        <v>-397139509.06557167</v>
      </c>
    </row>
    <row r="6" spans="1:16" ht="14.25" thickBot="1" x14ac:dyDescent="0.2">
      <c r="D6">
        <f>入力!X6</f>
        <v>180</v>
      </c>
      <c r="E6">
        <f>入力!AH6</f>
        <v>156853.03391459188</v>
      </c>
      <c r="F6" s="87">
        <f t="shared" si="0"/>
        <v>-1.6842963743566495E-3</v>
      </c>
      <c r="G6">
        <f>IF(F6&lt;=0,0,IF(F6&lt;=入力!$H$23,入力!$D$24*F6*(1-((F6/入力!$H$23)^(入力!$H$27-1))/入力!$H$27),IF(F6&lt;=入力!$H$26,入力!$H$24-入力!$H$25*(F6-入力!$H$23),0)))</f>
        <v>0</v>
      </c>
      <c r="H6">
        <f t="shared" si="1"/>
        <v>0</v>
      </c>
      <c r="I6">
        <f>H6*(入力!$D$3/2-D6)</f>
        <v>0</v>
      </c>
      <c r="K6">
        <f>IF(入力!J6="","",入力!J6)</f>
        <v>625</v>
      </c>
      <c r="L6">
        <f>入力!P6</f>
        <v>1588.4</v>
      </c>
      <c r="M6" s="87">
        <f>IF(入力!J6="","",$B$3+$B$15*(K6-$B$2))</f>
        <v>-1.0805259273136178E-3</v>
      </c>
      <c r="N6">
        <f>IF(入力!J6="","",IF(M6&lt;-入力!$H$19,-入力!$D$12,IF(M6&gt;入力!$H$19,入力!$D$12,入力!$D$17*M6)))</f>
        <v>-216.10518546272354</v>
      </c>
      <c r="O6">
        <f>IF(入力!J6="","",L6*N6)</f>
        <v>-343261.47658899007</v>
      </c>
      <c r="P6">
        <f>IF(入力!J6="","",O6*(入力!$D$3/2-K6))</f>
        <v>-128723053.72087128</v>
      </c>
    </row>
    <row r="7" spans="1:16" ht="14.25" thickBot="1" x14ac:dyDescent="0.2">
      <c r="A7" s="7" t="s">
        <v>82</v>
      </c>
      <c r="B7" s="16">
        <f>B4-B5</f>
        <v>-5.0248672778252512E-8</v>
      </c>
      <c r="D7">
        <f>入力!X7</f>
        <v>220</v>
      </c>
      <c r="E7">
        <f>入力!AH7</f>
        <v>158273.80174595758</v>
      </c>
      <c r="F7" s="87">
        <f t="shared" si="0"/>
        <v>-1.6300248734988489E-3</v>
      </c>
      <c r="G7">
        <f>IF(F7&lt;=0,0,IF(F7&lt;=入力!$H$23,入力!$D$24*F7*(1-((F7/入力!$H$23)^(入力!$H$27-1))/入力!$H$27),IF(F7&lt;=入力!$H$26,入力!$H$24-入力!$H$25*(F7-入力!$H$23),0)))</f>
        <v>0</v>
      </c>
      <c r="H7">
        <f t="shared" si="1"/>
        <v>0</v>
      </c>
      <c r="I7">
        <f>H7*(入力!$D$3/2-D7)</f>
        <v>0</v>
      </c>
      <c r="K7">
        <f>IF(入力!J7="","",入力!J7)</f>
        <v>750</v>
      </c>
      <c r="L7">
        <f>入力!P7</f>
        <v>3176.8</v>
      </c>
      <c r="M7" s="87">
        <f>IF(入力!J7="","",$B$3+$B$15*(K7-$B$2))</f>
        <v>-9.1092748713299081E-4</v>
      </c>
      <c r="N7">
        <f>IF(入力!J7="","",IF(M7&lt;-入力!$H$19,-入力!$D$12,IF(M7&gt;入力!$H$19,入力!$D$12,入力!$D$17*M7)))</f>
        <v>-182.18549742659818</v>
      </c>
      <c r="O7">
        <f>IF(入力!J7="","",L7*N7)</f>
        <v>-578766.88822481711</v>
      </c>
      <c r="P7">
        <f>IF(入力!J7="","",O7*(入力!$D$3/2-K7))</f>
        <v>-144691722.05620429</v>
      </c>
    </row>
    <row r="8" spans="1:16" x14ac:dyDescent="0.15">
      <c r="A8" s="7" t="s">
        <v>128</v>
      </c>
      <c r="D8">
        <f>入力!X8</f>
        <v>260</v>
      </c>
      <c r="E8">
        <f>入力!AH8</f>
        <v>148224.79825404243</v>
      </c>
      <c r="F8" s="87">
        <f t="shared" si="0"/>
        <v>-1.5757533726410483E-3</v>
      </c>
      <c r="G8">
        <f>IF(F8&lt;=0,0,IF(F8&lt;=入力!$H$23,入力!$D$24*F8*(1-((F8/入力!$H$23)^(入力!$H$27-1))/入力!$H$27),IF(F8&lt;=入力!$H$26,入力!$H$24-入力!$H$25*(F8-入力!$H$23),0)))</f>
        <v>0</v>
      </c>
      <c r="H8">
        <f t="shared" si="1"/>
        <v>0</v>
      </c>
      <c r="I8">
        <f>H8*(入力!$D$3/2-D8)</f>
        <v>0</v>
      </c>
      <c r="K8">
        <f>IF(入力!J8="","",入力!J8)</f>
        <v>875</v>
      </c>
      <c r="L8">
        <f>入力!P8</f>
        <v>1588.4</v>
      </c>
      <c r="M8" s="87">
        <f>IF(入力!J8="","",$B$3+$B$15*(K8-$B$2))</f>
        <v>-7.4132904695236386E-4</v>
      </c>
      <c r="N8">
        <f>IF(入力!J8="","",IF(M8&lt;-入力!$H$19,-入力!$D$12,IF(M8&gt;入力!$H$19,入力!$D$12,入力!$D$17*M8)))</f>
        <v>-148.26580939047278</v>
      </c>
      <c r="O8">
        <f>IF(入力!J8="","",L8*N8)</f>
        <v>-235505.41163582698</v>
      </c>
      <c r="P8">
        <f>IF(入力!J8="","",O8*(入力!$D$3/2-K8))</f>
        <v>-29438176.454478372</v>
      </c>
    </row>
    <row r="9" spans="1:16" x14ac:dyDescent="0.15">
      <c r="A9" t="s">
        <v>122</v>
      </c>
      <c r="D9">
        <f>入力!X9</f>
        <v>300</v>
      </c>
      <c r="E9">
        <f>入力!AH9</f>
        <v>160000</v>
      </c>
      <c r="F9" s="87">
        <f t="shared" si="0"/>
        <v>-1.5214818717832477E-3</v>
      </c>
      <c r="G9">
        <f>IF(F9&lt;=0,0,IF(F9&lt;=入力!$H$23,入力!$D$24*F9*(1-((F9/入力!$H$23)^(入力!$H$27-1))/入力!$H$27),IF(F9&lt;=入力!$H$26,入力!$H$24-入力!$H$25*(F9-入力!$H$23),0)))</f>
        <v>0</v>
      </c>
      <c r="H9">
        <f t="shared" si="1"/>
        <v>0</v>
      </c>
      <c r="I9">
        <f>H9*(入力!$D$3/2-D9)</f>
        <v>0</v>
      </c>
      <c r="K9">
        <f>IF(入力!J9="","",入力!J9)</f>
        <v>1000</v>
      </c>
      <c r="L9">
        <f>入力!P9</f>
        <v>3176.8</v>
      </c>
      <c r="M9" s="87">
        <f>IF(入力!J9="","",$B$3+$B$15*(K9-$B$2))</f>
        <v>-5.7173060677173692E-4</v>
      </c>
      <c r="N9">
        <f>IF(入力!J9="","",IF(M9&lt;-入力!$H$19,-入力!$D$12,IF(M9&gt;入力!$H$19,入力!$D$12,入力!$D$17*M9)))</f>
        <v>-114.34612135434739</v>
      </c>
      <c r="O9">
        <f>IF(入力!J9="","",L9*N9)</f>
        <v>-363254.75831849081</v>
      </c>
      <c r="P9">
        <f>IF(入力!J9="","",O9*(入力!$D$3/2-K9))</f>
        <v>0</v>
      </c>
    </row>
    <row r="10" spans="1:16" x14ac:dyDescent="0.15">
      <c r="A10" t="s">
        <v>90</v>
      </c>
      <c r="D10">
        <f>入力!X10</f>
        <v>340</v>
      </c>
      <c r="E10">
        <f>入力!AH10</f>
        <v>159987.27013196712</v>
      </c>
      <c r="F10" s="87">
        <f t="shared" si="0"/>
        <v>-1.4672103709254471E-3</v>
      </c>
      <c r="G10">
        <f>IF(F10&lt;=0,0,IF(F10&lt;=入力!$H$23,入力!$D$24*F10*(1-((F10/入力!$H$23)^(入力!$H$27-1))/入力!$H$27),IF(F10&lt;=入力!$H$26,入力!$H$24-入力!$H$25*(F10-入力!$H$23),0)))</f>
        <v>0</v>
      </c>
      <c r="H10">
        <f t="shared" si="1"/>
        <v>0</v>
      </c>
      <c r="I10">
        <f>H10*(入力!$D$3/2-D10)</f>
        <v>0</v>
      </c>
      <c r="K10">
        <f>IF(入力!J10="","",入力!J10)</f>
        <v>1125</v>
      </c>
      <c r="L10">
        <f>入力!P10</f>
        <v>1588.4</v>
      </c>
      <c r="M10" s="87">
        <f>IF(入力!J10="","",$B$3+$B$15*(K10-$B$2))</f>
        <v>-4.0213216659111019E-4</v>
      </c>
      <c r="N10">
        <f>IF(入力!J10="","",IF(M10&lt;-入力!$H$19,-入力!$D$12,IF(M10&gt;入力!$H$19,入力!$D$12,入力!$D$17*M10)))</f>
        <v>-80.426433318222038</v>
      </c>
      <c r="O10">
        <f>IF(入力!J10="","",L10*N10)</f>
        <v>-127749.34668266389</v>
      </c>
      <c r="P10">
        <f>IF(入力!J10="","",O10*(入力!$D$3/2-K10))</f>
        <v>15968668.335332986</v>
      </c>
    </row>
    <row r="11" spans="1:16" x14ac:dyDescent="0.15">
      <c r="A11" t="s">
        <v>123</v>
      </c>
      <c r="D11">
        <f>入力!X11</f>
        <v>380</v>
      </c>
      <c r="E11">
        <f>入力!AH11</f>
        <v>158424.32986803289</v>
      </c>
      <c r="F11" s="87">
        <f t="shared" si="0"/>
        <v>-1.4129388700676465E-3</v>
      </c>
      <c r="G11">
        <f>IF(F11&lt;=0,0,IF(F11&lt;=入力!$H$23,入力!$D$24*F11*(1-((F11/入力!$H$23)^(入力!$H$27-1))/入力!$H$27),IF(F11&lt;=入力!$H$26,入力!$H$24-入力!$H$25*(F11-入力!$H$23),0)))</f>
        <v>0</v>
      </c>
      <c r="H11">
        <f t="shared" si="1"/>
        <v>0</v>
      </c>
      <c r="I11">
        <f>H11*(入力!$D$3/2-D11)</f>
        <v>0</v>
      </c>
      <c r="K11">
        <f>IF(入力!J11="","",入力!J11)</f>
        <v>1250</v>
      </c>
      <c r="L11">
        <f>入力!P11</f>
        <v>3176.8</v>
      </c>
      <c r="M11" s="87">
        <f>IF(入力!J11="","",$B$3+$B$15*(K11-$B$2))</f>
        <v>-2.3253372641048324E-4</v>
      </c>
      <c r="N11">
        <f>IF(入力!J11="","",IF(M11&lt;-入力!$H$19,-入力!$D$12,IF(M11&gt;入力!$H$19,入力!$D$12,入力!$D$17*M11)))</f>
        <v>-46.506745282096645</v>
      </c>
      <c r="O11">
        <f>IF(入力!J11="","",L11*N11)</f>
        <v>-147742.62841216463</v>
      </c>
      <c r="P11">
        <f>IF(入力!J11="","",O11*(入力!$D$3/2-K11))</f>
        <v>36935657.103041157</v>
      </c>
    </row>
    <row r="12" spans="1:16" x14ac:dyDescent="0.15">
      <c r="A12" t="s">
        <v>91</v>
      </c>
      <c r="D12">
        <f>入力!X12</f>
        <v>420</v>
      </c>
      <c r="E12">
        <f>入力!AH12</f>
        <v>160000</v>
      </c>
      <c r="F12" s="87">
        <f t="shared" si="0"/>
        <v>-1.3586673692098459E-3</v>
      </c>
      <c r="G12">
        <f>IF(F12&lt;=0,0,IF(F12&lt;=入力!$H$23,入力!$D$24*F12*(1-((F12/入力!$H$23)^(入力!$H$27-1))/入力!$H$27),IF(F12&lt;=入力!$H$26,入力!$H$24-入力!$H$25*(F12-入力!$H$23),0)))</f>
        <v>0</v>
      </c>
      <c r="H12">
        <f t="shared" si="1"/>
        <v>0</v>
      </c>
      <c r="I12">
        <f>H12*(入力!$D$3/2-D12)</f>
        <v>0</v>
      </c>
      <c r="K12">
        <f>IF(入力!J12="","",入力!J12)</f>
        <v>1375</v>
      </c>
      <c r="L12">
        <f>入力!P12</f>
        <v>1588.4</v>
      </c>
      <c r="M12" s="87">
        <f>IF(入力!J12="","",$B$3+$B$15*(K12-$B$2))</f>
        <v>-6.2935286229856297E-5</v>
      </c>
      <c r="N12">
        <f>IF(入力!J12="","",IF(M12&lt;-入力!$H$19,-入力!$D$12,IF(M12&gt;入力!$H$19,入力!$D$12,入力!$D$17*M12)))</f>
        <v>-12.587057245971259</v>
      </c>
      <c r="O12">
        <f>IF(入力!J12="","",L12*N12)</f>
        <v>-19993.281729500748</v>
      </c>
      <c r="P12">
        <f>IF(入力!J12="","",O12*(入力!$D$3/2-K12))</f>
        <v>7497480.6485627806</v>
      </c>
    </row>
    <row r="13" spans="1:16" x14ac:dyDescent="0.15">
      <c r="A13" s="7" t="s">
        <v>124</v>
      </c>
      <c r="D13">
        <f>入力!X13</f>
        <v>460</v>
      </c>
      <c r="E13">
        <f>入力!AH13</f>
        <v>160000</v>
      </c>
      <c r="F13" s="87">
        <f t="shared" si="0"/>
        <v>-1.3043958683520453E-3</v>
      </c>
      <c r="G13">
        <f>IF(F13&lt;=0,0,IF(F13&lt;=入力!$H$23,入力!$D$24*F13*(1-((F13/入力!$H$23)^(入力!$H$27-1))/入力!$H$27),IF(F13&lt;=入力!$H$26,入力!$H$24-入力!$H$25*(F13-入力!$H$23),0)))</f>
        <v>0</v>
      </c>
      <c r="H13">
        <f t="shared" si="1"/>
        <v>0</v>
      </c>
      <c r="I13">
        <f>H13*(入力!$D$3/2-D13)</f>
        <v>0</v>
      </c>
      <c r="K13">
        <f>IF(入力!J13="","",入力!J13)</f>
        <v>1500</v>
      </c>
      <c r="L13">
        <f>入力!P13</f>
        <v>3176.8</v>
      </c>
      <c r="M13" s="87">
        <f>IF(入力!J13="","",$B$3+$B$15*(K13-$B$2))</f>
        <v>1.0666315395077065E-4</v>
      </c>
      <c r="N13">
        <f>IF(入力!J13="","",IF(M13&lt;-入力!$H$19,-入力!$D$12,IF(M13&gt;入力!$H$19,入力!$D$12,入力!$D$17*M13)))</f>
        <v>21.332630790154131</v>
      </c>
      <c r="O13">
        <f>IF(入力!J13="","",L13*N13)</f>
        <v>67769.501494161639</v>
      </c>
      <c r="P13">
        <f>IF(入力!J13="","",O13*(入力!$D$3/2-K13))</f>
        <v>-33884750.747080818</v>
      </c>
    </row>
    <row r="14" spans="1:16" x14ac:dyDescent="0.15">
      <c r="B14" t="s">
        <v>160</v>
      </c>
      <c r="D14">
        <f>入力!X14</f>
        <v>500</v>
      </c>
      <c r="E14">
        <f>入力!AH14</f>
        <v>156823.20000000001</v>
      </c>
      <c r="F14" s="87">
        <f t="shared" si="0"/>
        <v>-1.2501243674942447E-3</v>
      </c>
      <c r="G14">
        <f>IF(F14&lt;=0,0,IF(F14&lt;=入力!$H$23,入力!$D$24*F14*(1-((F14/入力!$H$23)^(入力!$H$27-1))/入力!$H$27),IF(F14&lt;=入力!$H$26,入力!$H$24-入力!$H$25*(F14-入力!$H$23),0)))</f>
        <v>0</v>
      </c>
      <c r="H14">
        <f t="shared" si="1"/>
        <v>0</v>
      </c>
      <c r="I14">
        <f>H14*(入力!$D$3/2-D14)</f>
        <v>0</v>
      </c>
      <c r="K14">
        <f>IF(入力!J14="","",入力!J14)</f>
        <v>1625</v>
      </c>
      <c r="L14">
        <f>入力!P14</f>
        <v>1588.4</v>
      </c>
      <c r="M14" s="87">
        <f>IF(入力!J14="","",$B$3+$B$15*(K14-$B$2))</f>
        <v>2.7626159413139759E-4</v>
      </c>
      <c r="N14">
        <f>IF(入力!J14="","",IF(M14&lt;-入力!$H$19,-入力!$D$12,IF(M14&gt;入力!$H$19,入力!$D$12,入力!$D$17*M14)))</f>
        <v>55.25231882627952</v>
      </c>
      <c r="O14">
        <f>IF(入力!J14="","",L14*N14)</f>
        <v>87762.783223662394</v>
      </c>
      <c r="P14">
        <f>IF(入力!J14="","",O14*(入力!$D$3/2-K14))</f>
        <v>-54851739.514789</v>
      </c>
    </row>
    <row r="15" spans="1:16" x14ac:dyDescent="0.15">
      <c r="A15" s="4" t="s">
        <v>189</v>
      </c>
      <c r="B15" s="23">
        <v>1.3567875214450153E-6</v>
      </c>
      <c r="C15" s="24" t="s">
        <v>76</v>
      </c>
      <c r="D15">
        <f>入力!X15</f>
        <v>540</v>
      </c>
      <c r="E15">
        <f>入力!AH15</f>
        <v>160000</v>
      </c>
      <c r="F15" s="87">
        <f t="shared" si="0"/>
        <v>-1.1958528666364439E-3</v>
      </c>
      <c r="G15">
        <f>IF(F15&lt;=0,0,IF(F15&lt;=入力!$H$23,入力!$D$24*F15*(1-((F15/入力!$H$23)^(入力!$H$27-1))/入力!$H$27),IF(F15&lt;=入力!$H$26,入力!$H$24-入力!$H$25*(F15-入力!$H$23),0)))</f>
        <v>0</v>
      </c>
      <c r="H15">
        <f t="shared" si="1"/>
        <v>0</v>
      </c>
      <c r="I15">
        <f>H15*(入力!$D$3/2-D15)</f>
        <v>0</v>
      </c>
      <c r="K15">
        <f>IF(入力!J15="","",入力!J15)</f>
        <v>1750</v>
      </c>
      <c r="L15">
        <f>入力!P15</f>
        <v>13501.400000000001</v>
      </c>
      <c r="M15" s="87">
        <f>IF(入力!J15="","",$B$3+$B$15*(K15-$B$2))</f>
        <v>4.4586003431202432E-4</v>
      </c>
      <c r="N15">
        <f>IF(入力!J15="","",IF(M15&lt;-入力!$H$19,-入力!$D$12,IF(M15&gt;入力!$H$19,入力!$D$12,入力!$D$17*M15)))</f>
        <v>89.172006862404871</v>
      </c>
      <c r="O15">
        <f>IF(入力!J15="","",L15*N15)</f>
        <v>1203946.9334520733</v>
      </c>
      <c r="P15">
        <f>IF(入力!J15="","",O15*(入力!$D$3/2-K15))</f>
        <v>-902960200.08905494</v>
      </c>
    </row>
    <row r="16" spans="1:16" x14ac:dyDescent="0.15">
      <c r="A16" s="4" t="s">
        <v>190</v>
      </c>
      <c r="B16" s="25">
        <f>-SUM(I2:I51)-SUM(P2:P51)</f>
        <v>30380603852.36467</v>
      </c>
      <c r="C16" s="4" t="s">
        <v>158</v>
      </c>
      <c r="D16">
        <f>入力!X16</f>
        <v>580</v>
      </c>
      <c r="E16">
        <f>入力!AH16</f>
        <v>160000</v>
      </c>
      <c r="F16" s="87">
        <f t="shared" si="0"/>
        <v>-1.1415813657786435E-3</v>
      </c>
      <c r="G16">
        <f>IF(F16&lt;=0,0,IF(F16&lt;=入力!$H$23,入力!$D$24*F16*(1-((F16/入力!$H$23)^(入力!$H$27-1))/入力!$H$27),IF(F16&lt;=入力!$H$26,入力!$H$24-入力!$H$25*(F16-入力!$H$23),0)))</f>
        <v>0</v>
      </c>
      <c r="H16">
        <f t="shared" si="1"/>
        <v>0</v>
      </c>
      <c r="I16">
        <f>H16*(入力!$D$3/2-D16)</f>
        <v>0</v>
      </c>
      <c r="K16">
        <f>IF(入力!J16="","",入力!J16)</f>
        <v>1850</v>
      </c>
      <c r="L16">
        <f>入力!P16</f>
        <v>24620.2</v>
      </c>
      <c r="M16" s="87">
        <f>IF(入力!J16="","",$B$3+$B$15*(K16-$B$2))</f>
        <v>5.8153878645652614E-4</v>
      </c>
      <c r="N16">
        <f>IF(入力!J16="","",IF(M16&lt;-入力!$H$19,-入力!$D$12,IF(M16&gt;入力!$H$19,入力!$D$12,入力!$D$17*M16)))</f>
        <v>116.30775729130522</v>
      </c>
      <c r="O16">
        <f>IF(入力!J16="","",L16*N16)</f>
        <v>2863520.2460633931</v>
      </c>
      <c r="P16">
        <f>IF(入力!J16="","",O16*(入力!$D$3/2-K16))</f>
        <v>-2433992209.1538839</v>
      </c>
    </row>
    <row r="17" spans="1:16" x14ac:dyDescent="0.15">
      <c r="A17" s="18"/>
      <c r="B17" s="18"/>
      <c r="D17">
        <f>入力!X17</f>
        <v>620</v>
      </c>
      <c r="E17">
        <f>入力!AH17</f>
        <v>158424.27779052482</v>
      </c>
      <c r="F17" s="87">
        <f t="shared" si="0"/>
        <v>-1.0873098649208427E-3</v>
      </c>
      <c r="G17">
        <f>IF(F17&lt;=0,0,IF(F17&lt;=入力!$H$23,入力!$D$24*F17*(1-((F17/入力!$H$23)^(入力!$H$27-1))/入力!$H$27),IF(F17&lt;=入力!$H$26,入力!$H$24-入力!$H$25*(F17-入力!$H$23),0)))</f>
        <v>0</v>
      </c>
      <c r="H17">
        <f t="shared" si="1"/>
        <v>0</v>
      </c>
      <c r="I17">
        <f>H17*(入力!$D$3/2-D17)</f>
        <v>0</v>
      </c>
      <c r="K17" t="str">
        <f>IF(入力!J17="","",入力!J17)</f>
        <v/>
      </c>
      <c r="L17" t="str">
        <f>入力!P17</f>
        <v/>
      </c>
      <c r="M17" s="87" t="str">
        <f>IF(入力!J17="","",$B$3+$B$15*(K17-$B$2))</f>
        <v/>
      </c>
      <c r="N17" t="str">
        <f>IF(入力!J17="","",IF(M17&lt;-入力!$H$19,-入力!$D$12,IF(M17&gt;入力!$H$19,入力!$D$12,入力!$D$17*M17)))</f>
        <v/>
      </c>
      <c r="O17" t="str">
        <f>IF(入力!J17="","",L17*N17)</f>
        <v/>
      </c>
      <c r="P17" t="str">
        <f>IF(入力!J17="","",O17*(入力!$D$3/2-K17))</f>
        <v/>
      </c>
    </row>
    <row r="18" spans="1:16" x14ac:dyDescent="0.15">
      <c r="A18" s="18"/>
      <c r="B18" s="18"/>
      <c r="D18">
        <f>入力!X18</f>
        <v>660</v>
      </c>
      <c r="E18">
        <f>入力!AH18</f>
        <v>159987.32220947518</v>
      </c>
      <c r="F18" s="87">
        <f t="shared" si="0"/>
        <v>-1.0330383640630423E-3</v>
      </c>
      <c r="G18">
        <f>IF(F18&lt;=0,0,IF(F18&lt;=入力!$H$23,入力!$D$24*F18*(1-((F18/入力!$H$23)^(入力!$H$27-1))/入力!$H$27),IF(F18&lt;=入力!$H$26,入力!$H$24-入力!$H$25*(F18-入力!$H$23),0)))</f>
        <v>0</v>
      </c>
      <c r="H18">
        <f t="shared" si="1"/>
        <v>0</v>
      </c>
      <c r="I18">
        <f>H18*(入力!$D$3/2-D18)</f>
        <v>0</v>
      </c>
      <c r="K18" t="str">
        <f>IF(入力!J18="","",入力!J18)</f>
        <v/>
      </c>
      <c r="L18" t="str">
        <f>入力!P18</f>
        <v/>
      </c>
      <c r="M18" s="87" t="str">
        <f>IF(入力!J18="","",$B$3+$B$15*(K18-$B$2))</f>
        <v/>
      </c>
      <c r="N18" t="str">
        <f>IF(入力!J18="","",IF(M18&lt;-入力!$H$19,-入力!$D$12,IF(M18&gt;入力!$H$19,入力!$D$12,入力!$D$17*M18)))</f>
        <v/>
      </c>
      <c r="O18" t="str">
        <f>IF(入力!J18="","",L18*N18)</f>
        <v/>
      </c>
      <c r="P18" t="str">
        <f>IF(入力!J18="","",O18*(入力!$D$3/2-K18))</f>
        <v/>
      </c>
    </row>
    <row r="19" spans="1:16" x14ac:dyDescent="0.15">
      <c r="A19" s="18"/>
      <c r="B19" s="18"/>
      <c r="D19">
        <f>入力!X19</f>
        <v>700</v>
      </c>
      <c r="E19">
        <f>入力!AH19</f>
        <v>160000</v>
      </c>
      <c r="F19" s="87">
        <f t="shared" si="0"/>
        <v>-9.787668632052415E-4</v>
      </c>
      <c r="G19">
        <f>IF(F19&lt;=0,0,IF(F19&lt;=入力!$H$23,入力!$D$24*F19*(1-((F19/入力!$H$23)^(入力!$H$27-1))/入力!$H$27),IF(F19&lt;=入力!$H$26,入力!$H$24-入力!$H$25*(F19-入力!$H$23),0)))</f>
        <v>0</v>
      </c>
      <c r="H19">
        <f t="shared" si="1"/>
        <v>0</v>
      </c>
      <c r="I19">
        <f>H19*(入力!$D$3/2-D19)</f>
        <v>0</v>
      </c>
      <c r="K19" t="str">
        <f>IF(入力!J19="","",入力!J19)</f>
        <v/>
      </c>
      <c r="L19" t="str">
        <f>入力!P19</f>
        <v/>
      </c>
      <c r="M19" s="87" t="str">
        <f>IF(入力!J19="","",$B$3+$B$15*(K19-$B$2))</f>
        <v/>
      </c>
      <c r="N19" t="str">
        <f>IF(入力!J19="","",IF(M19&lt;-入力!$H$19,-入力!$D$12,IF(M19&gt;入力!$H$19,入力!$D$12,入力!$D$17*M19)))</f>
        <v/>
      </c>
      <c r="O19" t="str">
        <f>IF(入力!J19="","",L19*N19)</f>
        <v/>
      </c>
      <c r="P19" t="str">
        <f>IF(入力!J19="","",O19*(入力!$D$3/2-K19))</f>
        <v/>
      </c>
    </row>
    <row r="20" spans="1:16" x14ac:dyDescent="0.15">
      <c r="A20" s="18"/>
      <c r="B20" s="18"/>
      <c r="D20">
        <f>入力!X20</f>
        <v>740</v>
      </c>
      <c r="E20">
        <f>入力!AH20</f>
        <v>157229.26014005265</v>
      </c>
      <c r="F20" s="87">
        <f t="shared" si="0"/>
        <v>-9.2449536234744101E-4</v>
      </c>
      <c r="G20">
        <f>IF(F20&lt;=0,0,IF(F20&lt;=入力!$H$23,入力!$D$24*F20*(1-((F20/入力!$H$23)^(入力!$H$27-1))/入力!$H$27),IF(F20&lt;=入力!$H$26,入力!$H$24-入力!$H$25*(F20-入力!$H$23),0)))</f>
        <v>0</v>
      </c>
      <c r="H20">
        <f t="shared" si="1"/>
        <v>0</v>
      </c>
      <c r="I20">
        <f>H20*(入力!$D$3/2-D20)</f>
        <v>0</v>
      </c>
      <c r="K20" t="str">
        <f>IF(入力!J20="","",入力!J20)</f>
        <v/>
      </c>
      <c r="L20" t="str">
        <f>入力!P20</f>
        <v/>
      </c>
      <c r="M20" s="87" t="str">
        <f>IF(入力!J20="","",$B$3+$B$15*(K20-$B$2))</f>
        <v/>
      </c>
      <c r="N20" t="str">
        <f>IF(入力!J20="","",IF(M20&lt;-入力!$H$19,-入力!$D$12,IF(M20&gt;入力!$H$19,入力!$D$12,入力!$D$17*M20)))</f>
        <v/>
      </c>
      <c r="O20" t="str">
        <f>IF(入力!J20="","",L20*N20)</f>
        <v/>
      </c>
      <c r="P20" t="str">
        <f>IF(入力!J20="","",O20*(入力!$D$3/2-K20))</f>
        <v/>
      </c>
    </row>
    <row r="21" spans="1:16" x14ac:dyDescent="0.15">
      <c r="A21" s="18"/>
      <c r="B21" s="18"/>
      <c r="D21">
        <f>入力!X21</f>
        <v>780</v>
      </c>
      <c r="E21">
        <f>入力!AH21</f>
        <v>159593.93985994734</v>
      </c>
      <c r="F21" s="87">
        <f t="shared" si="0"/>
        <v>-8.7022386148964041E-4</v>
      </c>
      <c r="G21">
        <f>IF(F21&lt;=0,0,IF(F21&lt;=入力!$H$23,入力!$D$24*F21*(1-((F21/入力!$H$23)^(入力!$H$27-1))/入力!$H$27),IF(F21&lt;=入力!$H$26,入力!$H$24-入力!$H$25*(F21-入力!$H$23),0)))</f>
        <v>0</v>
      </c>
      <c r="H21">
        <f t="shared" si="1"/>
        <v>0</v>
      </c>
      <c r="I21">
        <f>H21*(入力!$D$3/2-D21)</f>
        <v>0</v>
      </c>
      <c r="K21" t="str">
        <f>IF(入力!J21="","",入力!J21)</f>
        <v/>
      </c>
      <c r="L21" t="str">
        <f>入力!P21</f>
        <v/>
      </c>
      <c r="M21" s="87" t="str">
        <f>IF(入力!J21="","",$B$3+$B$15*(K21-$B$2))</f>
        <v/>
      </c>
      <c r="N21" t="str">
        <f>IF(入力!J21="","",IF(M21&lt;-入力!$H$19,-入力!$D$12,IF(M21&gt;入力!$H$19,入力!$D$12,入力!$D$17*M21)))</f>
        <v/>
      </c>
      <c r="O21" t="str">
        <f>IF(入力!J21="","",L21*N21)</f>
        <v/>
      </c>
      <c r="P21" t="str">
        <f>IF(入力!J21="","",O21*(入力!$D$3/2-K21))</f>
        <v/>
      </c>
    </row>
    <row r="22" spans="1:16" x14ac:dyDescent="0.15">
      <c r="A22" s="18"/>
      <c r="B22" s="18"/>
      <c r="D22">
        <f>入力!X22</f>
        <v>820</v>
      </c>
      <c r="E22">
        <f>入力!AH22</f>
        <v>160000</v>
      </c>
      <c r="F22" s="87">
        <f t="shared" si="0"/>
        <v>-8.1595236063183971E-4</v>
      </c>
      <c r="G22">
        <f>IF(F22&lt;=0,0,IF(F22&lt;=入力!$H$23,入力!$D$24*F22*(1-((F22/入力!$H$23)^(入力!$H$27-1))/入力!$H$27),IF(F22&lt;=入力!$H$26,入力!$H$24-入力!$H$25*(F22-入力!$H$23),0)))</f>
        <v>0</v>
      </c>
      <c r="H22">
        <f t="shared" si="1"/>
        <v>0</v>
      </c>
      <c r="I22">
        <f>H22*(入力!$D$3/2-D22)</f>
        <v>0</v>
      </c>
      <c r="K22" t="str">
        <f>IF(入力!J22="","",入力!J22)</f>
        <v/>
      </c>
      <c r="L22" t="str">
        <f>入力!P22</f>
        <v/>
      </c>
      <c r="M22" s="87" t="str">
        <f>IF(入力!J22="","",$B$3+$B$15*(K22-$B$2))</f>
        <v/>
      </c>
      <c r="N22" t="str">
        <f>IF(入力!J22="","",IF(M22&lt;-入力!$H$19,-入力!$D$12,IF(M22&gt;入力!$H$19,入力!$D$12,入力!$D$17*M22)))</f>
        <v/>
      </c>
      <c r="O22" t="str">
        <f>IF(入力!J22="","",L22*N22)</f>
        <v/>
      </c>
      <c r="P22" t="str">
        <f>IF(入力!J22="","",O22*(入力!$D$3/2-K22))</f>
        <v/>
      </c>
    </row>
    <row r="23" spans="1:16" x14ac:dyDescent="0.15">
      <c r="A23" s="18"/>
      <c r="B23" s="18"/>
      <c r="D23">
        <f>入力!X23</f>
        <v>860</v>
      </c>
      <c r="E23">
        <f>入力!AH23</f>
        <v>158893.09567954077</v>
      </c>
      <c r="F23" s="87">
        <f t="shared" si="0"/>
        <v>-7.6168085977403911E-4</v>
      </c>
      <c r="G23">
        <f>IF(F23&lt;=0,0,IF(F23&lt;=入力!$H$23,入力!$D$24*F23*(1-((F23/入力!$H$23)^(入力!$H$27-1))/入力!$H$27),IF(F23&lt;=入力!$H$26,入力!$H$24-入力!$H$25*(F23-入力!$H$23),0)))</f>
        <v>0</v>
      </c>
      <c r="H23">
        <f t="shared" si="1"/>
        <v>0</v>
      </c>
      <c r="I23">
        <f>H23*(入力!$D$3/2-D23)</f>
        <v>0</v>
      </c>
      <c r="K23" t="str">
        <f>IF(入力!J23="","",入力!J23)</f>
        <v/>
      </c>
      <c r="L23" t="str">
        <f>入力!P23</f>
        <v/>
      </c>
      <c r="M23" s="87" t="str">
        <f>IF(入力!J23="","",$B$3+$B$15*(K23-$B$2))</f>
        <v/>
      </c>
      <c r="N23" t="str">
        <f>IF(入力!J23="","",IF(M23&lt;-入力!$H$19,-入力!$D$12,IF(M23&gt;入力!$H$19,入力!$D$12,入力!$D$17*M23)))</f>
        <v/>
      </c>
      <c r="O23" t="str">
        <f>IF(入力!J23="","",L23*N23)</f>
        <v/>
      </c>
      <c r="P23" t="str">
        <f>IF(入力!J23="","",O23*(入力!$D$3/2-K23))</f>
        <v/>
      </c>
    </row>
    <row r="24" spans="1:16" x14ac:dyDescent="0.15">
      <c r="A24" s="18"/>
      <c r="B24" s="18"/>
      <c r="D24">
        <f>入力!X24</f>
        <v>900</v>
      </c>
      <c r="E24">
        <f>入力!AH24</f>
        <v>159518.50432045924</v>
      </c>
      <c r="F24" s="87">
        <f t="shared" si="0"/>
        <v>-7.0740935891623852E-4</v>
      </c>
      <c r="G24">
        <f>IF(F24&lt;=0,0,IF(F24&lt;=入力!$H$23,入力!$D$24*F24*(1-((F24/入力!$H$23)^(入力!$H$27-1))/入力!$H$27),IF(F24&lt;=入力!$H$26,入力!$H$24-入力!$H$25*(F24-入力!$H$23),0)))</f>
        <v>0</v>
      </c>
      <c r="H24">
        <f t="shared" si="1"/>
        <v>0</v>
      </c>
      <c r="I24">
        <f>H24*(入力!$D$3/2-D24)</f>
        <v>0</v>
      </c>
      <c r="K24" t="str">
        <f>IF(入力!J24="","",入力!J24)</f>
        <v/>
      </c>
      <c r="L24" t="str">
        <f>入力!P24</f>
        <v/>
      </c>
      <c r="M24" s="87" t="str">
        <f>IF(入力!J24="","",$B$3+$B$15*(K24-$B$2))</f>
        <v/>
      </c>
      <c r="N24" t="str">
        <f>IF(入力!J24="","",IF(M24&lt;-入力!$H$19,-入力!$D$12,IF(M24&gt;入力!$H$19,入力!$D$12,入力!$D$17*M24)))</f>
        <v/>
      </c>
      <c r="O24" t="str">
        <f>IF(入力!J24="","",L24*N24)</f>
        <v/>
      </c>
      <c r="P24" t="str">
        <f>IF(入力!J24="","",O24*(入力!$D$3/2-K24))</f>
        <v/>
      </c>
    </row>
    <row r="25" spans="1:16" x14ac:dyDescent="0.15">
      <c r="A25" s="18"/>
      <c r="B25" s="18"/>
      <c r="D25">
        <f>入力!X25</f>
        <v>940</v>
      </c>
      <c r="E25">
        <f>入力!AH25</f>
        <v>160000</v>
      </c>
      <c r="F25" s="87">
        <f t="shared" si="0"/>
        <v>-6.5313785805843792E-4</v>
      </c>
      <c r="G25">
        <f>IF(F25&lt;=0,0,IF(F25&lt;=入力!$H$23,入力!$D$24*F25*(1-((F25/入力!$H$23)^(入力!$H$27-1))/入力!$H$27),IF(F25&lt;=入力!$H$26,入力!$H$24-入力!$H$25*(F25-入力!$H$23),0)))</f>
        <v>0</v>
      </c>
      <c r="H25">
        <f t="shared" si="1"/>
        <v>0</v>
      </c>
      <c r="I25">
        <f>H25*(入力!$D$3/2-D25)</f>
        <v>0</v>
      </c>
      <c r="K25" t="str">
        <f>IF(入力!J25="","",入力!J25)</f>
        <v/>
      </c>
      <c r="L25" t="str">
        <f>入力!P25</f>
        <v/>
      </c>
      <c r="M25" s="87" t="str">
        <f>IF(入力!J25="","",$B$3+$B$15*(K25-$B$2))</f>
        <v/>
      </c>
      <c r="N25" t="str">
        <f>IF(入力!J25="","",IF(M25&lt;-入力!$H$19,-入力!$D$12,IF(M25&gt;入力!$H$19,入力!$D$12,入力!$D$17*M25)))</f>
        <v/>
      </c>
      <c r="O25" t="str">
        <f>IF(入力!J25="","",L25*N25)</f>
        <v/>
      </c>
      <c r="P25" t="str">
        <f>IF(入力!J25="","",O25*(入力!$D$3/2-K25))</f>
        <v/>
      </c>
    </row>
    <row r="26" spans="1:16" x14ac:dyDescent="0.15">
      <c r="A26" s="18"/>
      <c r="B26" s="18"/>
      <c r="D26">
        <f>入力!X26</f>
        <v>980</v>
      </c>
      <c r="E26">
        <f>入力!AH26</f>
        <v>158411.54792249191</v>
      </c>
      <c r="F26" s="87">
        <f t="shared" si="0"/>
        <v>-5.9886635720063732E-4</v>
      </c>
      <c r="G26">
        <f>IF(F26&lt;=0,0,IF(F26&lt;=入力!$H$23,入力!$D$24*F26*(1-((F26/入力!$H$23)^(入力!$H$27-1))/入力!$H$27),IF(F26&lt;=入力!$H$26,入力!$H$24-入力!$H$25*(F26-入力!$H$23),0)))</f>
        <v>0</v>
      </c>
      <c r="H26">
        <f t="shared" si="1"/>
        <v>0</v>
      </c>
      <c r="I26">
        <f>H26*(入力!$D$3/2-D26)</f>
        <v>0</v>
      </c>
      <c r="K26" t="str">
        <f>IF(入力!J26="","",入力!J26)</f>
        <v/>
      </c>
      <c r="L26" t="str">
        <f>入力!P26</f>
        <v/>
      </c>
      <c r="M26" s="87" t="str">
        <f>IF(入力!J26="","",$B$3+$B$15*(K26-$B$2))</f>
        <v/>
      </c>
      <c r="N26" t="str">
        <f>IF(入力!J26="","",IF(M26&lt;-入力!$H$19,-入力!$D$12,IF(M26&gt;入力!$H$19,入力!$D$12,入力!$D$17*M26)))</f>
        <v/>
      </c>
      <c r="O26" t="str">
        <f>IF(入力!J26="","",L26*N26)</f>
        <v/>
      </c>
      <c r="P26" t="str">
        <f>IF(入力!J26="","",O26*(入力!$D$3/2-K26))</f>
        <v/>
      </c>
    </row>
    <row r="27" spans="1:16" x14ac:dyDescent="0.15">
      <c r="A27" s="18"/>
      <c r="B27" s="18"/>
      <c r="D27">
        <f>入力!X27</f>
        <v>1020</v>
      </c>
      <c r="E27">
        <f>入力!AH27</f>
        <v>158411.65207750807</v>
      </c>
      <c r="F27" s="87">
        <f t="shared" si="0"/>
        <v>-5.4459485634283673E-4</v>
      </c>
      <c r="G27">
        <f>IF(F27&lt;=0,0,IF(F27&lt;=入力!$H$23,入力!$D$24*F27*(1-((F27/入力!$H$23)^(入力!$H$27-1))/入力!$H$27),IF(F27&lt;=入力!$H$26,入力!$H$24-入力!$H$25*(F27-入力!$H$23),0)))</f>
        <v>0</v>
      </c>
      <c r="H27">
        <f t="shared" si="1"/>
        <v>0</v>
      </c>
      <c r="I27">
        <f>H27*(入力!$D$3/2-D27)</f>
        <v>0</v>
      </c>
      <c r="K27" t="str">
        <f>IF(入力!J27="","",入力!J27)</f>
        <v/>
      </c>
      <c r="L27" t="str">
        <f>入力!P27</f>
        <v/>
      </c>
      <c r="M27" s="87" t="str">
        <f>IF(入力!J27="","",$B$3+$B$15*(K27-$B$2))</f>
        <v/>
      </c>
      <c r="N27" t="str">
        <f>IF(入力!J27="","",IF(M27&lt;-入力!$H$19,-入力!$D$12,IF(M27&gt;入力!$H$19,入力!$D$12,入力!$D$17*M27)))</f>
        <v/>
      </c>
      <c r="O27" t="str">
        <f>IF(入力!J27="","",L27*N27)</f>
        <v/>
      </c>
      <c r="P27" t="str">
        <f>IF(入力!J27="","",O27*(入力!$D$3/2-K27))</f>
        <v/>
      </c>
    </row>
    <row r="28" spans="1:16" x14ac:dyDescent="0.15">
      <c r="A28" s="18"/>
      <c r="B28" s="18"/>
      <c r="D28">
        <f>入力!X28</f>
        <v>1060</v>
      </c>
      <c r="E28">
        <f>入力!AH28</f>
        <v>160000</v>
      </c>
      <c r="F28" s="87">
        <f t="shared" si="0"/>
        <v>-4.9032335548503613E-4</v>
      </c>
      <c r="G28">
        <f>IF(F28&lt;=0,0,IF(F28&lt;=入力!$H$23,入力!$D$24*F28*(1-((F28/入力!$H$23)^(入力!$H$27-1))/入力!$H$27),IF(F28&lt;=入力!$H$26,入力!$H$24-入力!$H$25*(F28-入力!$H$23),0)))</f>
        <v>0</v>
      </c>
      <c r="H28">
        <f t="shared" si="1"/>
        <v>0</v>
      </c>
      <c r="I28">
        <f>H28*(入力!$D$3/2-D28)</f>
        <v>0</v>
      </c>
      <c r="K28" t="str">
        <f>IF(入力!J28="","",入力!J28)</f>
        <v/>
      </c>
      <c r="L28" t="str">
        <f>入力!P28</f>
        <v/>
      </c>
      <c r="M28" s="87" t="str">
        <f>IF(入力!J28="","",$B$3+$B$15*(K28-$B$2))</f>
        <v/>
      </c>
      <c r="N28" t="str">
        <f>IF(入力!J28="","",IF(M28&lt;-入力!$H$19,-入力!$D$12,IF(M28&gt;入力!$H$19,入力!$D$12,入力!$D$17*M28)))</f>
        <v/>
      </c>
      <c r="O28" t="str">
        <f>IF(入力!J28="","",L28*N28)</f>
        <v/>
      </c>
      <c r="P28" t="str">
        <f>IF(入力!J28="","",O28*(入力!$D$3/2-K28))</f>
        <v/>
      </c>
    </row>
    <row r="29" spans="1:16" x14ac:dyDescent="0.15">
      <c r="A29" s="18"/>
      <c r="B29" s="18"/>
      <c r="D29">
        <f>入力!X29</f>
        <v>1100</v>
      </c>
      <c r="E29">
        <f>入力!AH29</f>
        <v>159518.45224295117</v>
      </c>
      <c r="F29" s="87">
        <f t="shared" si="0"/>
        <v>-4.3605185462723553E-4</v>
      </c>
      <c r="G29">
        <f>IF(F29&lt;=0,0,IF(F29&lt;=入力!$H$23,入力!$D$24*F29*(1-((F29/入力!$H$23)^(入力!$H$27-1))/入力!$H$27),IF(F29&lt;=入力!$H$26,入力!$H$24-入力!$H$25*(F29-入力!$H$23),0)))</f>
        <v>0</v>
      </c>
      <c r="H29">
        <f t="shared" si="1"/>
        <v>0</v>
      </c>
      <c r="I29">
        <f>H29*(入力!$D$3/2-D29)</f>
        <v>0</v>
      </c>
      <c r="K29" t="str">
        <f>IF(入力!J29="","",入力!J29)</f>
        <v/>
      </c>
      <c r="L29" t="str">
        <f>入力!P29</f>
        <v/>
      </c>
      <c r="M29" s="87" t="str">
        <f>IF(入力!J29="","",$B$3+$B$15*(K29-$B$2))</f>
        <v/>
      </c>
      <c r="N29" t="str">
        <f>IF(入力!J29="","",IF(M29&lt;-入力!$H$19,-入力!$D$12,IF(M29&gt;入力!$H$19,入力!$D$12,入力!$D$17*M29)))</f>
        <v/>
      </c>
      <c r="O29" t="str">
        <f>IF(入力!J29="","",L29*N29)</f>
        <v/>
      </c>
      <c r="P29" t="str">
        <f>IF(入力!J29="","",O29*(入力!$D$3/2-K29))</f>
        <v/>
      </c>
    </row>
    <row r="30" spans="1:16" x14ac:dyDescent="0.15">
      <c r="D30">
        <f>入力!X30</f>
        <v>1140</v>
      </c>
      <c r="E30">
        <f>入力!AH30</f>
        <v>158893.14775704884</v>
      </c>
      <c r="F30" s="87">
        <f t="shared" si="0"/>
        <v>-3.8178035376943494E-4</v>
      </c>
      <c r="G30">
        <f>IF(F30&lt;=0,0,IF(F30&lt;=入力!$H$23,入力!$D$24*F30*(1-((F30/入力!$H$23)^(入力!$H$27-1))/入力!$H$27),IF(F30&lt;=入力!$H$26,入力!$H$24-入力!$H$25*(F30-入力!$H$23),0)))</f>
        <v>0</v>
      </c>
      <c r="H30">
        <f t="shared" si="1"/>
        <v>0</v>
      </c>
      <c r="I30">
        <f>H30*(入力!$D$3/2-D30)</f>
        <v>0</v>
      </c>
      <c r="K30" t="str">
        <f>IF(入力!J30="","",入力!J30)</f>
        <v/>
      </c>
      <c r="L30" t="str">
        <f>入力!P30</f>
        <v/>
      </c>
      <c r="M30" s="87" t="str">
        <f>IF(入力!J30="","",$B$3+$B$15*(K30-$B$2))</f>
        <v/>
      </c>
      <c r="N30" t="str">
        <f>IF(入力!J30="","",IF(M30&lt;-入力!$H$19,-入力!$D$12,IF(M30&gt;入力!$H$19,入力!$D$12,入力!$D$17*M30)))</f>
        <v/>
      </c>
      <c r="O30" t="str">
        <f>IF(入力!J30="","",L30*N30)</f>
        <v/>
      </c>
      <c r="P30" t="str">
        <f>IF(入力!J30="","",O30*(入力!$D$3/2-K30))</f>
        <v/>
      </c>
    </row>
    <row r="31" spans="1:16" x14ac:dyDescent="0.15">
      <c r="D31">
        <f>入力!X31</f>
        <v>1200</v>
      </c>
      <c r="E31">
        <f>入力!AH31</f>
        <v>160000</v>
      </c>
      <c r="F31" s="87">
        <f t="shared" si="0"/>
        <v>-3.0037310248273393E-4</v>
      </c>
      <c r="G31">
        <f>IF(F31&lt;=0,0,IF(F31&lt;=入力!$H$23,入力!$D$24*F31*(1-((F31/入力!$H$23)^(入力!$H$27-1))/入力!$H$27),IF(F31&lt;=入力!$H$26,入力!$H$24-入力!$H$25*(F31-入力!$H$23),0)))</f>
        <v>0</v>
      </c>
      <c r="H31">
        <f t="shared" si="1"/>
        <v>0</v>
      </c>
      <c r="I31">
        <f>H31*(入力!$D$3/2-D31)</f>
        <v>0</v>
      </c>
      <c r="K31" t="str">
        <f>IF(入力!J31="","",入力!J31)</f>
        <v/>
      </c>
      <c r="L31" t="str">
        <f>入力!P31</f>
        <v/>
      </c>
      <c r="M31" s="87" t="str">
        <f>IF(入力!J31="","",$B$3+$B$15*(K31-$B$2))</f>
        <v/>
      </c>
      <c r="N31" t="str">
        <f>IF(入力!J31="","",IF(M31&lt;-入力!$H$19,-入力!$D$12,IF(M31&gt;入力!$H$19,入力!$D$12,入力!$D$17*M31)))</f>
        <v/>
      </c>
      <c r="O31" t="str">
        <f>IF(入力!J31="","",L31*N31)</f>
        <v/>
      </c>
      <c r="P31" t="str">
        <f>IF(入力!J31="","",O31*(入力!$D$3/2-K31))</f>
        <v/>
      </c>
    </row>
    <row r="32" spans="1:16" x14ac:dyDescent="0.15">
      <c r="D32">
        <f>入力!X32</f>
        <v>1240</v>
      </c>
      <c r="E32">
        <f>入力!AH32</f>
        <v>159593.8357049312</v>
      </c>
      <c r="F32" s="87">
        <f t="shared" si="0"/>
        <v>-2.4610160162493334E-4</v>
      </c>
      <c r="G32">
        <f>IF(F32&lt;=0,0,IF(F32&lt;=入力!$H$23,入力!$D$24*F32*(1-((F32/入力!$H$23)^(入力!$H$27-1))/入力!$H$27),IF(F32&lt;=入力!$H$26,入力!$H$24-入力!$H$25*(F32-入力!$H$23),0)))</f>
        <v>0</v>
      </c>
      <c r="H32">
        <f t="shared" si="1"/>
        <v>0</v>
      </c>
      <c r="I32">
        <f>H32*(入力!$D$3/2-D32)</f>
        <v>0</v>
      </c>
      <c r="K32" t="str">
        <f>IF(入力!J32="","",入力!J32)</f>
        <v/>
      </c>
      <c r="L32" t="str">
        <f>入力!P32</f>
        <v/>
      </c>
      <c r="M32" s="87" t="str">
        <f>IF(入力!J32="","",$B$3+$B$15*(K32-$B$2))</f>
        <v/>
      </c>
      <c r="N32" t="str">
        <f>IF(入力!J32="","",IF(M32&lt;-入力!$H$19,-入力!$D$12,IF(M32&gt;入力!$H$19,入力!$D$12,入力!$D$17*M32)))</f>
        <v/>
      </c>
      <c r="O32" t="str">
        <f>IF(入力!J32="","",L32*N32)</f>
        <v/>
      </c>
      <c r="P32" t="str">
        <f>IF(入力!J32="","",O32*(入力!$D$3/2-K32))</f>
        <v/>
      </c>
    </row>
    <row r="33" spans="4:16" x14ac:dyDescent="0.15">
      <c r="D33">
        <f>入力!X33</f>
        <v>1280</v>
      </c>
      <c r="E33">
        <f>入力!AH33</f>
        <v>157229.36429506881</v>
      </c>
      <c r="F33" s="87">
        <f t="shared" si="0"/>
        <v>-1.9183010076713274E-4</v>
      </c>
      <c r="G33">
        <f>IF(F33&lt;=0,0,IF(F33&lt;=入力!$H$23,入力!$D$24*F33*(1-((F33/入力!$H$23)^(入力!$H$27-1))/入力!$H$27),IF(F33&lt;=入力!$H$26,入力!$H$24-入力!$H$25*(F33-入力!$H$23),0)))</f>
        <v>0</v>
      </c>
      <c r="H33">
        <f t="shared" si="1"/>
        <v>0</v>
      </c>
      <c r="I33">
        <f>H33*(入力!$D$3/2-D33)</f>
        <v>0</v>
      </c>
      <c r="K33" t="str">
        <f>IF(入力!J33="","",入力!J33)</f>
        <v/>
      </c>
      <c r="L33" t="str">
        <f>入力!P33</f>
        <v/>
      </c>
      <c r="M33" s="87" t="str">
        <f>IF(入力!J33="","",$B$3+$B$15*(K33-$B$2))</f>
        <v/>
      </c>
      <c r="N33" t="str">
        <f>IF(入力!J33="","",IF(M33&lt;-入力!$H$19,-入力!$D$12,IF(M33&gt;入力!$H$19,入力!$D$12,入力!$D$17*M33)))</f>
        <v/>
      </c>
      <c r="O33" t="str">
        <f>IF(入力!J33="","",L33*N33)</f>
        <v/>
      </c>
      <c r="P33" t="str">
        <f>IF(入力!J33="","",O33*(入力!$D$3/2-K33))</f>
        <v/>
      </c>
    </row>
    <row r="34" spans="4:16" x14ac:dyDescent="0.15">
      <c r="D34">
        <f>入力!X34</f>
        <v>1320</v>
      </c>
      <c r="E34">
        <f>入力!AH34</f>
        <v>160000</v>
      </c>
      <c r="F34" s="87">
        <f t="shared" ref="F34:F51" si="2">$B$3+$B$15*(D34-$B$2)</f>
        <v>-1.3755859990933214E-4</v>
      </c>
      <c r="G34">
        <f>IF(F34&lt;=0,0,IF(F34&lt;=入力!$H$23,入力!$D$24*F34*(1-((F34/入力!$H$23)^(入力!$H$27-1))/入力!$H$27),IF(F34&lt;=入力!$H$26,入力!$H$24-入力!$H$25*(F34-入力!$H$23),0)))</f>
        <v>0</v>
      </c>
      <c r="H34">
        <f t="shared" ref="H34:H51" si="3">E34*G34</f>
        <v>0</v>
      </c>
      <c r="I34">
        <f>H34*(入力!$D$3/2-D34)</f>
        <v>0</v>
      </c>
      <c r="K34" t="str">
        <f>IF(入力!J34="","",入力!J34)</f>
        <v/>
      </c>
      <c r="L34" t="str">
        <f>入力!P34</f>
        <v/>
      </c>
      <c r="M34" s="87" t="str">
        <f>IF(入力!J34="","",$B$3+$B$15*(K34-$B$2))</f>
        <v/>
      </c>
      <c r="N34" t="str">
        <f>IF(入力!J34="","",IF(M34&lt;-入力!$H$19,-入力!$D$12,IF(M34&gt;入力!$H$19,入力!$D$12,入力!$D$17*M34)))</f>
        <v/>
      </c>
      <c r="O34" t="str">
        <f>IF(入力!J34="","",L34*N34)</f>
        <v/>
      </c>
      <c r="P34" t="str">
        <f>IF(入力!J34="","",O34*(入力!$D$3/2-K34))</f>
        <v/>
      </c>
    </row>
    <row r="35" spans="4:16" x14ac:dyDescent="0.15">
      <c r="D35">
        <f>入力!X35</f>
        <v>1360</v>
      </c>
      <c r="E35">
        <f>入力!AH35</f>
        <v>159987.27013196712</v>
      </c>
      <c r="F35" s="87">
        <f t="shared" si="2"/>
        <v>-8.3287099051531548E-5</v>
      </c>
      <c r="G35">
        <f>IF(F35&lt;=0,0,IF(F35&lt;=入力!$H$23,入力!$D$24*F35*(1-((F35/入力!$H$23)^(入力!$H$27-1))/入力!$H$27),IF(F35&lt;=入力!$H$26,入力!$H$24-入力!$H$25*(F35-入力!$H$23),0)))</f>
        <v>0</v>
      </c>
      <c r="H35">
        <f t="shared" si="3"/>
        <v>0</v>
      </c>
      <c r="I35">
        <f>H35*(入力!$D$3/2-D35)</f>
        <v>0</v>
      </c>
      <c r="K35" t="str">
        <f>IF(入力!J35="","",入力!J35)</f>
        <v/>
      </c>
      <c r="L35" t="str">
        <f>入力!P35</f>
        <v/>
      </c>
      <c r="M35" s="87" t="str">
        <f>IF(入力!J35="","",$B$3+$B$15*(K35-$B$2))</f>
        <v/>
      </c>
      <c r="N35" t="str">
        <f>IF(入力!J35="","",IF(M35&lt;-入力!$H$19,-入力!$D$12,IF(M35&gt;入力!$H$19,入力!$D$12,入力!$D$17*M35)))</f>
        <v/>
      </c>
      <c r="O35" t="str">
        <f>IF(入力!J35="","",L35*N35)</f>
        <v/>
      </c>
      <c r="P35" t="str">
        <f>IF(入力!J35="","",O35*(入力!$D$3/2-K35))</f>
        <v/>
      </c>
    </row>
    <row r="36" spans="4:16" x14ac:dyDescent="0.15">
      <c r="D36">
        <f>入力!X36</f>
        <v>1400</v>
      </c>
      <c r="E36">
        <f>入力!AH36</f>
        <v>158424.32986803289</v>
      </c>
      <c r="F36" s="87">
        <f t="shared" si="2"/>
        <v>-2.9015598193730952E-5</v>
      </c>
      <c r="G36">
        <f>IF(F36&lt;=0,0,IF(F36&lt;=入力!$H$23,入力!$D$24*F36*(1-((F36/入力!$H$23)^(入力!$H$27-1))/入力!$H$27),IF(F36&lt;=入力!$H$26,入力!$H$24-入力!$H$25*(F36-入力!$H$23),0)))</f>
        <v>0</v>
      </c>
      <c r="H36">
        <f t="shared" si="3"/>
        <v>0</v>
      </c>
      <c r="I36">
        <f>H36*(入力!$D$3/2-D36)</f>
        <v>0</v>
      </c>
      <c r="K36" t="str">
        <f>IF(入力!J36="","",入力!J36)</f>
        <v/>
      </c>
      <c r="L36" t="str">
        <f>入力!P36</f>
        <v/>
      </c>
      <c r="M36" s="87" t="str">
        <f>IF(入力!J36="","",$B$3+$B$15*(K36-$B$2))</f>
        <v/>
      </c>
      <c r="N36" t="str">
        <f>IF(入力!J36="","",IF(M36&lt;-入力!$H$19,-入力!$D$12,IF(M36&gt;入力!$H$19,入力!$D$12,入力!$D$17*M36)))</f>
        <v/>
      </c>
      <c r="O36" t="str">
        <f>IF(入力!J36="","",L36*N36)</f>
        <v/>
      </c>
      <c r="P36" t="str">
        <f>IF(入力!J36="","",O36*(入力!$D$3/2-K36))</f>
        <v/>
      </c>
    </row>
    <row r="37" spans="4:16" x14ac:dyDescent="0.15">
      <c r="D37">
        <f>入力!X37</f>
        <v>1440</v>
      </c>
      <c r="E37">
        <f>入力!AH37</f>
        <v>160000</v>
      </c>
      <c r="F37" s="87">
        <f t="shared" si="2"/>
        <v>2.5255902664069645E-5</v>
      </c>
      <c r="G37">
        <f>IF(F37&lt;=0,0,IF(F37&lt;=入力!$H$23,入力!$D$24*F37*(1-((F37/入力!$H$23)^(入力!$H$27-1))/入力!$H$27),IF(F37&lt;=入力!$H$26,入力!$H$24-入力!$H$25*(F37-入力!$H$23),0)))</f>
        <v>0.67253992960012698</v>
      </c>
      <c r="H37">
        <f t="shared" si="3"/>
        <v>107606.38873602032</v>
      </c>
      <c r="I37">
        <f>H37*(入力!$D$3/2-D37)</f>
        <v>-47346811.043848939</v>
      </c>
      <c r="K37" t="str">
        <f>IF(入力!J37="","",入力!J37)</f>
        <v/>
      </c>
      <c r="L37" t="str">
        <f>入力!P37</f>
        <v/>
      </c>
      <c r="M37" s="87" t="str">
        <f>IF(入力!J37="","",$B$3+$B$15*(K37-$B$2))</f>
        <v/>
      </c>
      <c r="N37" t="str">
        <f>IF(入力!J37="","",IF(M37&lt;-入力!$H$19,-入力!$D$12,IF(M37&gt;入力!$H$19,入力!$D$12,入力!$D$17*M37)))</f>
        <v/>
      </c>
      <c r="O37" t="str">
        <f>IF(入力!J37="","",L37*N37)</f>
        <v/>
      </c>
      <c r="P37" t="str">
        <f>IF(入力!J37="","",O37*(入力!$D$3/2-K37))</f>
        <v/>
      </c>
    </row>
    <row r="38" spans="4:16" x14ac:dyDescent="0.15">
      <c r="D38">
        <f>入力!X38</f>
        <v>1480</v>
      </c>
      <c r="E38">
        <f>入力!AH38</f>
        <v>160000</v>
      </c>
      <c r="F38" s="87">
        <f t="shared" si="2"/>
        <v>7.9527403521870241E-5</v>
      </c>
      <c r="G38">
        <f>IF(F38&lt;=0,0,IF(F38&lt;=入力!$H$23,入力!$D$24*F38*(1-((F38/入力!$H$23)^(入力!$H$27-1))/入力!$H$27),IF(F38&lt;=入力!$H$26,入力!$H$24-入力!$H$25*(F38-入力!$H$23),0)))</f>
        <v>2.026317045912684</v>
      </c>
      <c r="H38">
        <f t="shared" si="3"/>
        <v>324210.72734602942</v>
      </c>
      <c r="I38">
        <f>H38*(入力!$D$3/2-D38)</f>
        <v>-155621149.12609413</v>
      </c>
      <c r="K38" t="str">
        <f>IF(入力!J38="","",入力!J38)</f>
        <v/>
      </c>
      <c r="L38" t="str">
        <f>入力!P38</f>
        <v/>
      </c>
      <c r="M38" s="87" t="str">
        <f>IF(入力!J38="","",$B$3+$B$15*(K38-$B$2))</f>
        <v/>
      </c>
      <c r="N38" t="str">
        <f>IF(入力!J38="","",IF(M38&lt;-入力!$H$19,-入力!$D$12,IF(M38&gt;入力!$H$19,入力!$D$12,入力!$D$17*M38)))</f>
        <v/>
      </c>
      <c r="O38" t="str">
        <f>IF(入力!J38="","",L38*N38)</f>
        <v/>
      </c>
      <c r="P38" t="str">
        <f>IF(入力!J38="","",O38*(入力!$D$3/2-K38))</f>
        <v/>
      </c>
    </row>
    <row r="39" spans="4:16" x14ac:dyDescent="0.15">
      <c r="D39">
        <f>入力!X39</f>
        <v>1520</v>
      </c>
      <c r="E39">
        <f>入力!AH39</f>
        <v>156823.20000000001</v>
      </c>
      <c r="F39" s="87">
        <f t="shared" si="2"/>
        <v>1.3379890437967084E-4</v>
      </c>
      <c r="G39">
        <f>IF(F39&lt;=0,0,IF(F39&lt;=入力!$H$23,入力!$D$24*F39*(1-((F39/入力!$H$23)^(入力!$H$27-1))/入力!$H$27),IF(F39&lt;=入力!$H$26,入力!$H$24-入力!$H$25*(F39-入力!$H$23),0)))</f>
        <v>3.3018542213877606</v>
      </c>
      <c r="H39">
        <f t="shared" si="3"/>
        <v>517807.34493153711</v>
      </c>
      <c r="I39">
        <f>H39*(入力!$D$3/2-D39)</f>
        <v>-269259819.36439931</v>
      </c>
      <c r="K39" t="str">
        <f>IF(入力!J39="","",入力!J39)</f>
        <v/>
      </c>
      <c r="L39" t="str">
        <f>入力!P39</f>
        <v/>
      </c>
      <c r="M39" s="87" t="str">
        <f>IF(入力!J39="","",$B$3+$B$15*(K39-$B$2))</f>
        <v/>
      </c>
      <c r="N39" t="str">
        <f>IF(入力!J39="","",IF(M39&lt;-入力!$H$19,-入力!$D$12,IF(M39&gt;入力!$H$19,入力!$D$12,入力!$D$17*M39)))</f>
        <v/>
      </c>
      <c r="O39" t="str">
        <f>IF(入力!J39="","",L39*N39)</f>
        <v/>
      </c>
      <c r="P39" t="str">
        <f>IF(入力!J39="","",O39*(入力!$D$3/2-K39))</f>
        <v/>
      </c>
    </row>
    <row r="40" spans="4:16" x14ac:dyDescent="0.15">
      <c r="D40">
        <f>入力!X40</f>
        <v>1560</v>
      </c>
      <c r="E40">
        <f>入力!AH40</f>
        <v>160000</v>
      </c>
      <c r="F40" s="87">
        <f t="shared" si="2"/>
        <v>1.8807040523747143E-4</v>
      </c>
      <c r="G40">
        <f>IF(F40&lt;=0,0,IF(F40&lt;=入力!$H$23,入力!$D$24*F40*(1-((F40/入力!$H$23)^(入力!$H$27-1))/入力!$H$27),IF(F40&lt;=入力!$H$26,入力!$H$24-入力!$H$25*(F40-入力!$H$23),0)))</f>
        <v>4.5173639178354783</v>
      </c>
      <c r="H40">
        <f t="shared" si="3"/>
        <v>722778.22685367649</v>
      </c>
      <c r="I40">
        <f>H40*(入力!$D$3/2-D40)</f>
        <v>-404755807.03805882</v>
      </c>
      <c r="K40" t="str">
        <f>IF(入力!J40="","",入力!J40)</f>
        <v/>
      </c>
      <c r="L40" t="str">
        <f>入力!P40</f>
        <v/>
      </c>
      <c r="M40" s="87" t="str">
        <f>IF(入力!J40="","",$B$3+$B$15*(K40-$B$2))</f>
        <v/>
      </c>
      <c r="N40" t="str">
        <f>IF(入力!J40="","",IF(M40&lt;-入力!$H$19,-入力!$D$12,IF(M40&gt;入力!$H$19,入力!$D$12,入力!$D$17*M40)))</f>
        <v/>
      </c>
      <c r="O40" t="str">
        <f>IF(入力!J40="","",L40*N40)</f>
        <v/>
      </c>
      <c r="P40" t="str">
        <f>IF(入力!J40="","",O40*(入力!$D$3/2-K40))</f>
        <v/>
      </c>
    </row>
    <row r="41" spans="4:16" x14ac:dyDescent="0.15">
      <c r="D41">
        <f>入力!X41</f>
        <v>1600</v>
      </c>
      <c r="E41">
        <f>入力!AH41</f>
        <v>160000</v>
      </c>
      <c r="F41" s="87">
        <f t="shared" si="2"/>
        <v>2.4234190609527225E-4</v>
      </c>
      <c r="G41">
        <f>IF(F41&lt;=0,0,IF(F41&lt;=入力!$H$23,入力!$D$24*F41*(1-((F41/入力!$H$23)^(入力!$H$27-1))/入力!$H$27),IF(F41&lt;=入力!$H$26,入力!$H$24-入力!$H$25*(F41-入力!$H$23),0)))</f>
        <v>5.6819622749616379</v>
      </c>
      <c r="H41">
        <f t="shared" si="3"/>
        <v>909113.96399386204</v>
      </c>
      <c r="I41">
        <f>H41*(入力!$D$3/2-D41)</f>
        <v>-545468378.39631724</v>
      </c>
      <c r="K41" t="str">
        <f>IF(入力!J41="","",入力!J41)</f>
        <v/>
      </c>
      <c r="L41" t="str">
        <f>入力!P41</f>
        <v/>
      </c>
      <c r="M41" s="87" t="str">
        <f>IF(入力!J41="","",$B$3+$B$15*(K41-$B$2))</f>
        <v/>
      </c>
      <c r="N41" t="str">
        <f>IF(入力!J41="","",IF(M41&lt;-入力!$H$19,-入力!$D$12,IF(M41&gt;入力!$H$19,入力!$D$12,入力!$D$17*M41)))</f>
        <v/>
      </c>
      <c r="O41" t="str">
        <f>IF(入力!J41="","",L41*N41)</f>
        <v/>
      </c>
      <c r="P41" t="str">
        <f>IF(入力!J41="","",O41*(入力!$D$3/2-K41))</f>
        <v/>
      </c>
    </row>
    <row r="42" spans="4:16" x14ac:dyDescent="0.15">
      <c r="D42">
        <f>入力!X42</f>
        <v>1640</v>
      </c>
      <c r="E42">
        <f>入力!AH42</f>
        <v>158424.27779052482</v>
      </c>
      <c r="F42" s="87">
        <f t="shared" si="2"/>
        <v>2.9661340695307263E-4</v>
      </c>
      <c r="G42">
        <f>IF(F42&lt;=0,0,IF(F42&lt;=入力!$H$23,入力!$D$24*F42*(1-((F42/入力!$H$23)^(入力!$H$27-1))/入力!$H$27),IF(F42&lt;=入力!$H$26,入力!$H$24-入力!$H$25*(F42-入力!$H$23),0)))</f>
        <v>6.8014473322162203</v>
      </c>
      <c r="H42">
        <f t="shared" si="3"/>
        <v>1077514.3815366465</v>
      </c>
      <c r="I42">
        <f>H42*(入力!$D$3/2-D42)</f>
        <v>-689609204.1834538</v>
      </c>
      <c r="K42" t="str">
        <f>IF(入力!J42="","",入力!J42)</f>
        <v/>
      </c>
      <c r="L42" t="str">
        <f>入力!P42</f>
        <v/>
      </c>
      <c r="M42" s="87" t="str">
        <f>IF(入力!J42="","",$B$3+$B$15*(K42-$B$2))</f>
        <v/>
      </c>
      <c r="N42" t="str">
        <f>IF(入力!J42="","",IF(M42&lt;-入力!$H$19,-入力!$D$12,IF(M42&gt;入力!$H$19,入力!$D$12,入力!$D$17*M42)))</f>
        <v/>
      </c>
      <c r="O42" t="str">
        <f>IF(入力!J42="","",L42*N42)</f>
        <v/>
      </c>
      <c r="P42" t="str">
        <f>IF(入力!J42="","",O42*(入力!$D$3/2-K42))</f>
        <v/>
      </c>
    </row>
    <row r="43" spans="4:16" x14ac:dyDescent="0.15">
      <c r="D43">
        <f>入力!X43</f>
        <v>1680</v>
      </c>
      <c r="E43">
        <f>入力!AH43</f>
        <v>159987.32220947518</v>
      </c>
      <c r="F43" s="87">
        <f t="shared" si="2"/>
        <v>3.5088490781087344E-4</v>
      </c>
      <c r="G43">
        <f>IF(F43&lt;=0,0,IF(F43&lt;=入力!$H$23,入力!$D$24*F43*(1-((F43/入力!$H$23)^(入力!$H$27-1))/入力!$H$27),IF(F43&lt;=入力!$H$26,入力!$H$24-入力!$H$25*(F43-入力!$H$23),0)))</f>
        <v>7.8799395260208955</v>
      </c>
      <c r="H43">
        <f t="shared" si="3"/>
        <v>1260690.4239406842</v>
      </c>
      <c r="I43">
        <f>H43*(入力!$D$3/2-D43)</f>
        <v>-857269488.27966523</v>
      </c>
      <c r="K43" t="str">
        <f>IF(入力!J43="","",入力!J43)</f>
        <v/>
      </c>
      <c r="L43" t="str">
        <f>入力!P43</f>
        <v/>
      </c>
      <c r="M43" s="87" t="str">
        <f>IF(入力!J43="","",$B$3+$B$15*(K43-$B$2))</f>
        <v/>
      </c>
      <c r="N43" t="str">
        <f>IF(入力!J43="","",IF(M43&lt;-入力!$H$19,-入力!$D$12,IF(M43&gt;入力!$H$19,入力!$D$12,入力!$D$17*M43)))</f>
        <v/>
      </c>
      <c r="O43" t="str">
        <f>IF(入力!J43="","",L43*N43)</f>
        <v/>
      </c>
      <c r="P43" t="str">
        <f>IF(入力!J43="","",O43*(入力!$D$3/2-K43))</f>
        <v/>
      </c>
    </row>
    <row r="44" spans="4:16" x14ac:dyDescent="0.15">
      <c r="D44">
        <f>入力!X44</f>
        <v>1720</v>
      </c>
      <c r="E44">
        <f>入力!AH44</f>
        <v>160000</v>
      </c>
      <c r="F44" s="87">
        <f t="shared" si="2"/>
        <v>4.0515640866867382E-4</v>
      </c>
      <c r="G44">
        <f>IF(F44&lt;=0,0,IF(F44&lt;=入力!$H$23,入力!$D$24*F44*(1-((F44/入力!$H$23)^(入力!$H$27-1))/入力!$H$27),IF(F44&lt;=入力!$H$26,入力!$H$24-入力!$H$25*(F44-入力!$H$23),0)))</f>
        <v>8.920567185548931</v>
      </c>
      <c r="H44">
        <f t="shared" si="3"/>
        <v>1427290.7496878291</v>
      </c>
      <c r="I44">
        <f>H44*(入力!$D$3/2-D44)</f>
        <v>-1027649339.775237</v>
      </c>
      <c r="K44" t="str">
        <f>IF(入力!J44="","",入力!J44)</f>
        <v/>
      </c>
      <c r="L44" t="str">
        <f>入力!P44</f>
        <v/>
      </c>
      <c r="M44" s="87" t="str">
        <f>IF(入力!J44="","",$B$3+$B$15*(K44-$B$2))</f>
        <v/>
      </c>
      <c r="N44" t="str">
        <f>IF(入力!J44="","",IF(M44&lt;-入力!$H$19,-入力!$D$12,IF(M44&gt;入力!$H$19,入力!$D$12,入力!$D$17*M44)))</f>
        <v/>
      </c>
      <c r="O44" t="str">
        <f>IF(入力!J44="","",L44*N44)</f>
        <v/>
      </c>
      <c r="P44" t="str">
        <f>IF(入力!J44="","",O44*(入力!$D$3/2-K44))</f>
        <v/>
      </c>
    </row>
    <row r="45" spans="4:16" x14ac:dyDescent="0.15">
      <c r="D45">
        <f>入力!X45</f>
        <v>1740</v>
      </c>
      <c r="E45">
        <f>入力!AH45</f>
        <v>148224.35559522378</v>
      </c>
      <c r="F45" s="87">
        <f t="shared" si="2"/>
        <v>4.3229215909757444E-4</v>
      </c>
      <c r="G45">
        <f>IF(F45&lt;=0,0,IF(F45&lt;=入力!$H$23,入力!$D$24*F45*(1-((F45/入力!$H$23)^(入力!$H$27-1))/入力!$H$27),IF(F45&lt;=入力!$H$26,入力!$H$24-入力!$H$25*(F45-入力!$H$23),0)))</f>
        <v>9.4274768460310199</v>
      </c>
      <c r="H45">
        <f t="shared" si="3"/>
        <v>1397381.6803918406</v>
      </c>
      <c r="I45">
        <f>H45*(入力!$D$3/2-D45)</f>
        <v>-1034062443.4899621</v>
      </c>
      <c r="K45" t="str">
        <f>IF(入力!J45="","",入力!J45)</f>
        <v/>
      </c>
      <c r="L45" t="str">
        <f>入力!P45</f>
        <v/>
      </c>
      <c r="M45" s="87" t="str">
        <f>IF(入力!J45="","",$B$3+$B$15*(K45-$B$2))</f>
        <v/>
      </c>
      <c r="N45" t="str">
        <f>IF(入力!J45="","",IF(M45&lt;-入力!$H$19,-入力!$D$12,IF(M45&gt;入力!$H$19,入力!$D$12,入力!$D$17*M45)))</f>
        <v/>
      </c>
      <c r="O45" t="str">
        <f>IF(入力!J45="","",L45*N45)</f>
        <v/>
      </c>
      <c r="P45" t="str">
        <f>IF(入力!J45="","",O45*(入力!$D$3/2-K45))</f>
        <v/>
      </c>
    </row>
    <row r="46" spans="4:16" x14ac:dyDescent="0.15">
      <c r="D46">
        <f>入力!X46</f>
        <v>1780</v>
      </c>
      <c r="E46">
        <f>入力!AH46</f>
        <v>158274.24440477623</v>
      </c>
      <c r="F46" s="87">
        <f t="shared" si="2"/>
        <v>4.8656365995537482E-4</v>
      </c>
      <c r="G46">
        <f>IF(F46&lt;=0,0,IF(F46&lt;=入力!$H$23,入力!$D$24*F46*(1-((F46/入力!$H$23)^(入力!$H$27-1))/入力!$H$27),IF(F46&lt;=入力!$H$26,入力!$H$24-入力!$H$25*(F46-入力!$H$23),0)))</f>
        <v>10.415817048557802</v>
      </c>
      <c r="H46">
        <f t="shared" si="3"/>
        <v>1648555.5732188725</v>
      </c>
      <c r="I46">
        <f>H46*(入力!$D$3/2-D46)</f>
        <v>-1285873347.1107206</v>
      </c>
      <c r="K46" t="str">
        <f>IF(入力!J46="","",入力!J46)</f>
        <v/>
      </c>
      <c r="L46" t="str">
        <f>入力!P46</f>
        <v/>
      </c>
      <c r="M46" s="87" t="str">
        <f>IF(入力!J46="","",$B$3+$B$15*(K46-$B$2))</f>
        <v/>
      </c>
      <c r="N46" t="str">
        <f>IF(入力!J46="","",IF(M46&lt;-入力!$H$19,-入力!$D$12,IF(M46&gt;入力!$H$19,入力!$D$12,入力!$D$17*M46)))</f>
        <v/>
      </c>
      <c r="O46" t="str">
        <f>IF(入力!J46="","",L46*N46)</f>
        <v/>
      </c>
      <c r="P46" t="str">
        <f>IF(入力!J46="","",O46*(入力!$D$3/2-K46))</f>
        <v/>
      </c>
    </row>
    <row r="47" spans="4:16" x14ac:dyDescent="0.15">
      <c r="D47">
        <f>入力!X47</f>
        <v>1820</v>
      </c>
      <c r="E47">
        <f>入力!AH47</f>
        <v>156852.22671321675</v>
      </c>
      <c r="F47" s="87">
        <f t="shared" si="2"/>
        <v>5.4083516081317564E-4</v>
      </c>
      <c r="G47">
        <f>IF(F47&lt;=0,0,IF(F47&lt;=入力!$H$23,入力!$D$24*F47*(1-((F47/入力!$H$23)^(入力!$H$27-1))/入力!$H$27),IF(F47&lt;=入力!$H$26,入力!$H$24-入力!$H$25*(F47-入力!$H$23),0)))</f>
        <v>11.371697899763907</v>
      </c>
      <c r="H47">
        <f t="shared" si="3"/>
        <v>1783676.1370879791</v>
      </c>
      <c r="I47">
        <f>H47*(入力!$D$3/2-D47)</f>
        <v>-1462614432.412143</v>
      </c>
      <c r="K47" t="str">
        <f>IF(入力!J47="","",入力!J47)</f>
        <v/>
      </c>
      <c r="L47" t="str">
        <f>入力!P47</f>
        <v/>
      </c>
      <c r="M47" s="87" t="str">
        <f>IF(入力!J47="","",$B$3+$B$15*(K47-$B$2))</f>
        <v/>
      </c>
      <c r="N47" t="str">
        <f>IF(入力!J47="","",IF(M47&lt;-入力!$H$19,-入力!$D$12,IF(M47&gt;入力!$H$19,入力!$D$12,入力!$D$17*M47)))</f>
        <v/>
      </c>
      <c r="O47" t="str">
        <f>IF(入力!J47="","",L47*N47)</f>
        <v/>
      </c>
      <c r="P47" t="str">
        <f>IF(入力!J47="","",O47*(入力!$D$3/2-K47))</f>
        <v/>
      </c>
    </row>
    <row r="48" spans="4:16" x14ac:dyDescent="0.15">
      <c r="D48">
        <f>入力!X48</f>
        <v>1860</v>
      </c>
      <c r="E48">
        <f>入力!AH48</f>
        <v>138527.57328678324</v>
      </c>
      <c r="F48" s="87">
        <f t="shared" si="2"/>
        <v>5.9510666167097602E-4</v>
      </c>
      <c r="G48">
        <f>IF(F48&lt;=0,0,IF(F48&lt;=入力!$H$23,入力!$D$24*F48*(1-((F48/入力!$H$23)^(入力!$H$27-1))/入力!$H$27),IF(F48&lt;=入力!$H$26,入力!$H$24-入力!$H$25*(F48-入力!$H$23),0)))</f>
        <v>12.296694593429809</v>
      </c>
      <c r="H48">
        <f t="shared" si="3"/>
        <v>1703431.2614765391</v>
      </c>
      <c r="I48">
        <f>H48*(入力!$D$3/2-D48)</f>
        <v>-1464950884.8698237</v>
      </c>
      <c r="K48" t="str">
        <f>IF(入力!J48="","",入力!J48)</f>
        <v/>
      </c>
      <c r="L48" t="str">
        <f>入力!P48</f>
        <v/>
      </c>
      <c r="M48" s="87" t="str">
        <f>IF(入力!J48="","",$B$3+$B$15*(K48-$B$2))</f>
        <v/>
      </c>
      <c r="N48" t="str">
        <f>IF(入力!J48="","",IF(M48&lt;-入力!$H$19,-入力!$D$12,IF(M48&gt;入力!$H$19,入力!$D$12,入力!$D$17*M48)))</f>
        <v/>
      </c>
      <c r="O48" t="str">
        <f>IF(入力!J48="","",L48*N48)</f>
        <v/>
      </c>
      <c r="P48" t="str">
        <f>IF(入力!J48="","",O48*(入力!$D$3/2-K48))</f>
        <v/>
      </c>
    </row>
    <row r="49" spans="4:16" x14ac:dyDescent="0.15">
      <c r="D49">
        <f>入力!X49</f>
        <v>1900</v>
      </c>
      <c r="E49">
        <f>入力!AH49</f>
        <v>160000</v>
      </c>
      <c r="F49" s="87">
        <f t="shared" si="2"/>
        <v>6.4937816252877683E-4</v>
      </c>
      <c r="G49">
        <f>IF(F49&lt;=0,0,IF(F49&lt;=入力!$H$23,入力!$D$24*F49*(1-((F49/入力!$H$23)^(入力!$H$27-1))/入力!$H$27),IF(F49&lt;=入力!$H$26,入力!$H$24-入力!$H$25*(F49-入力!$H$23),0)))</f>
        <v>13.192164974540498</v>
      </c>
      <c r="H49">
        <f t="shared" si="3"/>
        <v>2110746.3959264797</v>
      </c>
      <c r="I49">
        <f>H49*(入力!$D$3/2-D49)</f>
        <v>-1899671756.3338318</v>
      </c>
      <c r="K49" t="str">
        <f>IF(入力!J49="","",入力!J49)</f>
        <v/>
      </c>
      <c r="L49" t="str">
        <f>入力!P49</f>
        <v/>
      </c>
      <c r="M49" s="87" t="str">
        <f>IF(入力!J49="","",$B$3+$B$15*(K49-$B$2))</f>
        <v/>
      </c>
      <c r="N49" t="str">
        <f>IF(入力!J49="","",IF(M49&lt;-入力!$H$19,-入力!$D$12,IF(M49&gt;入力!$H$19,入力!$D$12,入力!$D$17*M49)))</f>
        <v/>
      </c>
      <c r="O49" t="str">
        <f>IF(入力!J49="","",L49*N49)</f>
        <v/>
      </c>
      <c r="P49" t="str">
        <f>IF(入力!J49="","",O49*(入力!$D$3/2-K49))</f>
        <v/>
      </c>
    </row>
    <row r="50" spans="4:16" x14ac:dyDescent="0.15">
      <c r="D50">
        <f>入力!X50</f>
        <v>1940</v>
      </c>
      <c r="E50">
        <f>入力!AH50</f>
        <v>160000</v>
      </c>
      <c r="F50" s="87">
        <f t="shared" si="2"/>
        <v>7.0364966338657721E-4</v>
      </c>
      <c r="G50">
        <f>IF(F50&lt;=0,0,IF(F50&lt;=入力!$H$23,入力!$D$24*F50*(1-((F50/入力!$H$23)^(入力!$H$27-1))/入力!$H$27),IF(F50&lt;=入力!$H$26,入力!$H$24-入力!$H$25*(F50-入力!$H$23),0)))</f>
        <v>14.059295687556721</v>
      </c>
      <c r="H50">
        <f t="shared" si="3"/>
        <v>2249487.3100090753</v>
      </c>
      <c r="I50">
        <f>H50*(入力!$D$3/2-D50)</f>
        <v>-2114518071.4085307</v>
      </c>
      <c r="K50" t="str">
        <f>IF(入力!J50="","",入力!J50)</f>
        <v/>
      </c>
      <c r="L50" t="str">
        <f>入力!P50</f>
        <v/>
      </c>
      <c r="M50" s="87" t="str">
        <f>IF(入力!J50="","",$B$3+$B$15*(K50-$B$2))</f>
        <v/>
      </c>
      <c r="N50" t="str">
        <f>IF(入力!J50="","",IF(M50&lt;-入力!$H$19,-入力!$D$12,IF(M50&gt;入力!$H$19,入力!$D$12,入力!$D$17*M50)))</f>
        <v/>
      </c>
      <c r="O50" t="str">
        <f>IF(入力!J50="","",L50*N50)</f>
        <v/>
      </c>
      <c r="P50" t="str">
        <f>IF(入力!J50="","",O50*(入力!$D$3/2-K50))</f>
        <v/>
      </c>
    </row>
    <row r="51" spans="4:16" x14ac:dyDescent="0.15">
      <c r="D51">
        <f>入力!X51</f>
        <v>1980</v>
      </c>
      <c r="E51">
        <f>入力!AH51</f>
        <v>160000</v>
      </c>
      <c r="F51" s="87">
        <f t="shared" si="2"/>
        <v>7.5792116424437802E-4</v>
      </c>
      <c r="G51">
        <f>IF(F51&lt;=0,0,IF(F51&lt;=入力!$H$23,入力!$D$24*F51*(1-((F51/入力!$H$23)^(入力!$H$27-1))/入力!$H$27),IF(F51&lt;=入力!$H$26,入力!$H$24-入力!$H$25*(F51-入力!$H$23),0)))</f>
        <v>14.899135631277437</v>
      </c>
      <c r="H51">
        <f t="shared" si="3"/>
        <v>2383861.7010043897</v>
      </c>
      <c r="I51">
        <f>H51*(入力!$D$3/2-D51)</f>
        <v>-2336184466.984302</v>
      </c>
      <c r="K51" t="str">
        <f>IF(入力!J51="","",入力!J51)</f>
        <v/>
      </c>
      <c r="L51" t="str">
        <f>入力!P51</f>
        <v/>
      </c>
      <c r="M51" s="87" t="str">
        <f>IF(入力!J51="","",$B$3+$B$15*(K51-$B$2))</f>
        <v/>
      </c>
      <c r="N51" t="str">
        <f>IF(入力!J51="","",IF(M51&lt;-入力!$H$19,-入力!$D$12,IF(M51&gt;入力!$H$19,入力!$D$12,入力!$D$17*M51)))</f>
        <v/>
      </c>
      <c r="O51" t="str">
        <f>IF(入力!J51="","",L51*N51)</f>
        <v/>
      </c>
      <c r="P51" t="str">
        <f>IF(入力!J51="","",O51*(入力!$D$3/2-K51))</f>
        <v/>
      </c>
    </row>
  </sheetData>
  <phoneticPr fontId="3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O2" sqref="O2"/>
    </sheetView>
  </sheetViews>
  <sheetFormatPr defaultColWidth="8.875" defaultRowHeight="13.5" x14ac:dyDescent="0.15"/>
  <cols>
    <col min="1" max="1" width="16" style="7" customWidth="1"/>
    <col min="2" max="2" width="17.125" bestFit="1" customWidth="1"/>
    <col min="4" max="5" width="9.125" customWidth="1"/>
    <col min="6" max="6" width="9.125" style="87" customWidth="1"/>
    <col min="7" max="9" width="9.125" customWidth="1"/>
    <col min="10" max="10" width="2.375" customWidth="1"/>
    <col min="11" max="12" width="9.125" customWidth="1"/>
    <col min="13" max="13" width="9.125" style="87" customWidth="1"/>
    <col min="14" max="16" width="9.125" customWidth="1"/>
  </cols>
  <sheetData>
    <row r="1" spans="1:16" ht="60.75" customHeight="1" x14ac:dyDescent="0.15">
      <c r="A1" s="7" t="s">
        <v>113</v>
      </c>
      <c r="D1" s="17" t="s">
        <v>83</v>
      </c>
      <c r="E1" s="17" t="s">
        <v>85</v>
      </c>
      <c r="F1" s="86" t="s">
        <v>86</v>
      </c>
      <c r="G1" s="17" t="s">
        <v>87</v>
      </c>
      <c r="H1" s="17" t="s">
        <v>88</v>
      </c>
      <c r="I1" s="17" t="s">
        <v>254</v>
      </c>
      <c r="K1" s="17" t="s">
        <v>249</v>
      </c>
      <c r="L1" s="17" t="s">
        <v>250</v>
      </c>
      <c r="M1" s="86" t="s">
        <v>86</v>
      </c>
      <c r="N1" s="17" t="s">
        <v>251</v>
      </c>
      <c r="O1" s="17" t="s">
        <v>252</v>
      </c>
      <c r="P1" s="17" t="s">
        <v>253</v>
      </c>
    </row>
    <row r="2" spans="1:16" x14ac:dyDescent="0.15">
      <c r="A2" s="35" t="s">
        <v>72</v>
      </c>
      <c r="B2" s="35">
        <f>入力!D18</f>
        <v>150</v>
      </c>
      <c r="C2" s="35" t="s">
        <v>13</v>
      </c>
      <c r="D2">
        <f>入力!X2</f>
        <v>20</v>
      </c>
      <c r="E2" s="63">
        <f>入力!AI2</f>
        <v>148000</v>
      </c>
      <c r="F2" s="87">
        <f t="shared" ref="F2:F33" si="0">$B$3+$B$15*(D2-$B$2)</f>
        <v>-3.8300363862503753E-2</v>
      </c>
      <c r="G2">
        <f>IF(F2&lt;=0,0,IF(F2&lt;=入力!$H$23,入力!$D$24*F2*(1-((F2/入力!$H$23)^(入力!$H$27-1))/入力!$H$27),IF(F2&lt;=入力!$H$26,入力!$H$24-入力!$H$25*(F2-入力!$H$23),0)))</f>
        <v>0</v>
      </c>
      <c r="H2">
        <f>E2*G2</f>
        <v>0</v>
      </c>
      <c r="I2">
        <f>H2*(入力!$D$3/2-D2)</f>
        <v>0</v>
      </c>
      <c r="K2">
        <f>IF(入力!J2="","",入力!J2)</f>
        <v>150</v>
      </c>
      <c r="L2">
        <f>入力!P2</f>
        <v>24620.2</v>
      </c>
      <c r="M2" s="87">
        <f>IF(入力!J2="","",$B$3+$B$15*(K2-$B$2))</f>
        <v>-3.5285921887271275E-2</v>
      </c>
      <c r="N2">
        <f>IF(入力!J2="","",IF(M2&lt;-入力!$H$19,-入力!$D$12,IF(M2&gt;入力!$H$19,入力!$D$12,入力!$D$17*M2)))</f>
        <v>-345</v>
      </c>
      <c r="O2">
        <f>IF(入力!J2="","",L2*N2)</f>
        <v>-8493969</v>
      </c>
      <c r="P2">
        <f>IF(入力!J2="","",O2*(入力!$D$3/2-K2))</f>
        <v>-7219873650</v>
      </c>
    </row>
    <row r="3" spans="1:16" x14ac:dyDescent="0.15">
      <c r="A3" s="26" t="s">
        <v>112</v>
      </c>
      <c r="B3" s="27">
        <f>-入力!H17</f>
        <v>-3.5285921887271275E-2</v>
      </c>
      <c r="C3" s="28"/>
      <c r="D3">
        <f>入力!X3</f>
        <v>60</v>
      </c>
      <c r="E3" s="63">
        <f>入力!AI3</f>
        <v>148000</v>
      </c>
      <c r="F3" s="87">
        <f t="shared" si="0"/>
        <v>-3.7372843254739913E-2</v>
      </c>
      <c r="G3">
        <f>IF(F3&lt;=0,0,IF(F3&lt;=入力!$H$23,入力!$D$24*F3*(1-((F3/入力!$H$23)^(入力!$H$27-1))/入力!$H$27),IF(F3&lt;=入力!$H$26,入力!$H$24-入力!$H$25*(F3-入力!$H$23),0)))</f>
        <v>0</v>
      </c>
      <c r="H3">
        <f>E3*G3</f>
        <v>0</v>
      </c>
      <c r="I3">
        <f>H3*(入力!$D$3/2-D3)</f>
        <v>0</v>
      </c>
      <c r="K3">
        <f>IF(入力!J3="","",入力!J3)</f>
        <v>250</v>
      </c>
      <c r="L3">
        <f>入力!P3</f>
        <v>13501.400000000001</v>
      </c>
      <c r="M3" s="87">
        <f>IF(入力!J3="","",$B$3+$B$15*(K3-$B$2))</f>
        <v>-3.2967120367861674E-2</v>
      </c>
      <c r="N3">
        <f>IF(入力!J3="","",IF(M3&lt;-入力!$H$19,-入力!$D$12,IF(M3&gt;入力!$H$19,入力!$D$12,入力!$D$17*M3)))</f>
        <v>-345</v>
      </c>
      <c r="O3">
        <f>IF(入力!J3="","",L3*N3)</f>
        <v>-4657983.0000000009</v>
      </c>
      <c r="P3">
        <f>IF(入力!J3="","",O3*(入力!$D$3/2-K3))</f>
        <v>-3493487250.0000005</v>
      </c>
    </row>
    <row r="4" spans="1:16" x14ac:dyDescent="0.15">
      <c r="A4" s="26" t="s">
        <v>125</v>
      </c>
      <c r="B4" s="28">
        <f>(SUM(H2:H51)+SUM(O2:O51))/1000</f>
        <v>8000.0000632185975</v>
      </c>
      <c r="C4" s="28" t="s">
        <v>75</v>
      </c>
      <c r="D4">
        <f>入力!X4</f>
        <v>100</v>
      </c>
      <c r="E4" s="63">
        <f>入力!AI4</f>
        <v>148000</v>
      </c>
      <c r="F4" s="87">
        <f t="shared" si="0"/>
        <v>-3.6445322646976072E-2</v>
      </c>
      <c r="G4">
        <f>IF(F4&lt;=0,0,IF(F4&lt;=入力!$H$23,入力!$D$24*F4*(1-((F4/入力!$H$23)^(入力!$H$27-1))/入力!$H$27),IF(F4&lt;=入力!$H$26,入力!$H$24-入力!$H$25*(F4-入力!$H$23),0)))</f>
        <v>0</v>
      </c>
      <c r="H4">
        <f t="shared" ref="H4:H51" si="1">E4*G4</f>
        <v>0</v>
      </c>
      <c r="I4">
        <f>H4*(入力!$D$3/2-D4)</f>
        <v>0</v>
      </c>
      <c r="K4">
        <f>IF(入力!J4="","",入力!J4)</f>
        <v>375</v>
      </c>
      <c r="L4">
        <f>入力!P4</f>
        <v>1588.4</v>
      </c>
      <c r="M4" s="87">
        <f>IF(入力!J4="","",$B$3+$B$15*(K4-$B$2))</f>
        <v>-3.0068618468599682E-2</v>
      </c>
      <c r="N4">
        <f>IF(入力!J4="","",IF(M4&lt;-入力!$H$19,-入力!$D$12,IF(M4&gt;入力!$H$19,入力!$D$12,入力!$D$17*M4)))</f>
        <v>-345</v>
      </c>
      <c r="O4">
        <f>IF(入力!J4="","",L4*N4)</f>
        <v>-547998</v>
      </c>
      <c r="P4">
        <f>IF(入力!J4="","",O4*(入力!$D$3/2-K4))</f>
        <v>-342498750</v>
      </c>
    </row>
    <row r="5" spans="1:16" x14ac:dyDescent="0.15">
      <c r="A5" s="28" t="s">
        <v>73</v>
      </c>
      <c r="B5" s="28">
        <f>入力!H7</f>
        <v>8000</v>
      </c>
      <c r="C5" s="28" t="s">
        <v>75</v>
      </c>
      <c r="D5">
        <f>入力!X5</f>
        <v>140</v>
      </c>
      <c r="E5" s="63">
        <f>入力!AI5</f>
        <v>126526.76608540813</v>
      </c>
      <c r="F5" s="87">
        <f t="shared" si="0"/>
        <v>-3.5517802039212232E-2</v>
      </c>
      <c r="G5">
        <f>IF(F5&lt;=0,0,IF(F5&lt;=入力!$H$23,入力!$D$24*F5*(1-((F5/入力!$H$23)^(入力!$H$27-1))/入力!$H$27),IF(F5&lt;=入力!$H$26,入力!$H$24-入力!$H$25*(F5-入力!$H$23),0)))</f>
        <v>0</v>
      </c>
      <c r="H5">
        <f t="shared" si="1"/>
        <v>0</v>
      </c>
      <c r="I5">
        <f>H5*(入力!$D$3/2-D5)</f>
        <v>0</v>
      </c>
      <c r="K5">
        <f>IF(入力!J5="","",入力!J5)</f>
        <v>500</v>
      </c>
      <c r="L5">
        <f>入力!P5</f>
        <v>3176.8</v>
      </c>
      <c r="M5" s="87">
        <f>IF(入力!J5="","",$B$3+$B$15*(K5-$B$2))</f>
        <v>-2.7170116569337682E-2</v>
      </c>
      <c r="N5">
        <f>IF(入力!J5="","",IF(M5&lt;-入力!$H$19,-入力!$D$12,IF(M5&gt;入力!$H$19,入力!$D$12,入力!$D$17*M5)))</f>
        <v>-345</v>
      </c>
      <c r="O5">
        <f>IF(入力!J5="","",L5*N5)</f>
        <v>-1095996</v>
      </c>
      <c r="P5">
        <f>IF(入力!J5="","",O5*(入力!$D$3/2-K5))</f>
        <v>-547998000</v>
      </c>
    </row>
    <row r="6" spans="1:16" ht="14.25" thickBot="1" x14ac:dyDescent="0.2">
      <c r="D6">
        <f>入力!X6</f>
        <v>180</v>
      </c>
      <c r="E6" s="63">
        <f>入力!AI6</f>
        <v>144853.03391459188</v>
      </c>
      <c r="F6" s="87">
        <f t="shared" si="0"/>
        <v>-3.4590281431448398E-2</v>
      </c>
      <c r="G6">
        <f>IF(F6&lt;=0,0,IF(F6&lt;=入力!$H$23,入力!$D$24*F6*(1-((F6/入力!$H$23)^(入力!$H$27-1))/入力!$H$27),IF(F6&lt;=入力!$H$26,入力!$H$24-入力!$H$25*(F6-入力!$H$23),0)))</f>
        <v>0</v>
      </c>
      <c r="H6">
        <f t="shared" si="1"/>
        <v>0</v>
      </c>
      <c r="I6">
        <f>H6*(入力!$D$3/2-D6)</f>
        <v>0</v>
      </c>
      <c r="K6">
        <f>IF(入力!J6="","",入力!J6)</f>
        <v>625</v>
      </c>
      <c r="L6">
        <f>入力!P6</f>
        <v>1588.4</v>
      </c>
      <c r="M6" s="87">
        <f>IF(入力!J6="","",$B$3+$B$15*(K6-$B$2))</f>
        <v>-2.4271614670075686E-2</v>
      </c>
      <c r="N6">
        <f>IF(入力!J6="","",IF(M6&lt;-入力!$H$19,-入力!$D$12,IF(M6&gt;入力!$H$19,入力!$D$12,入力!$D$17*M6)))</f>
        <v>-345</v>
      </c>
      <c r="O6">
        <f>IF(入力!J6="","",L6*N6)</f>
        <v>-547998</v>
      </c>
      <c r="P6">
        <f>IF(入力!J6="","",O6*(入力!$D$3/2-K6))</f>
        <v>-205499250</v>
      </c>
    </row>
    <row r="7" spans="1:16" ht="14.25" thickBot="1" x14ac:dyDescent="0.2">
      <c r="A7" s="7" t="s">
        <v>82</v>
      </c>
      <c r="B7" s="16">
        <f>B4-B5</f>
        <v>6.3218597460945603E-5</v>
      </c>
      <c r="D7">
        <f>入力!X7</f>
        <v>220</v>
      </c>
      <c r="E7" s="63">
        <f>入力!AI7</f>
        <v>146273.80174595758</v>
      </c>
      <c r="F7" s="87">
        <f t="shared" si="0"/>
        <v>-3.3662760823684558E-2</v>
      </c>
      <c r="G7">
        <f>IF(F7&lt;=0,0,IF(F7&lt;=入力!$H$23,入力!$D$24*F7*(1-((F7/入力!$H$23)^(入力!$H$27-1))/入力!$H$27),IF(F7&lt;=入力!$H$26,入力!$H$24-入力!$H$25*(F7-入力!$H$23),0)))</f>
        <v>0</v>
      </c>
      <c r="H7">
        <f t="shared" si="1"/>
        <v>0</v>
      </c>
      <c r="I7">
        <f>H7*(入力!$D$3/2-D7)</f>
        <v>0</v>
      </c>
      <c r="K7">
        <f>IF(入力!J7="","",入力!J7)</f>
        <v>750</v>
      </c>
      <c r="L7">
        <f>入力!P7</f>
        <v>3176.8</v>
      </c>
      <c r="M7" s="87">
        <f>IF(入力!J7="","",$B$3+$B$15*(K7-$B$2))</f>
        <v>-2.137311277081369E-2</v>
      </c>
      <c r="N7">
        <f>IF(入力!J7="","",IF(M7&lt;-入力!$H$19,-入力!$D$12,IF(M7&gt;入力!$H$19,入力!$D$12,入力!$D$17*M7)))</f>
        <v>-345</v>
      </c>
      <c r="O7">
        <f>IF(入力!J7="","",L7*N7)</f>
        <v>-1095996</v>
      </c>
      <c r="P7">
        <f>IF(入力!J7="","",O7*(入力!$D$3/2-K7))</f>
        <v>-273999000</v>
      </c>
    </row>
    <row r="8" spans="1:16" x14ac:dyDescent="0.15">
      <c r="A8" s="7" t="s">
        <v>128</v>
      </c>
      <c r="D8">
        <f>入力!X8</f>
        <v>260</v>
      </c>
      <c r="E8" s="63">
        <f>入力!AI8</f>
        <v>136224.79825404243</v>
      </c>
      <c r="F8" s="87">
        <f t="shared" si="0"/>
        <v>-3.2735240215920718E-2</v>
      </c>
      <c r="G8">
        <f>IF(F8&lt;=0,0,IF(F8&lt;=入力!$H$23,入力!$D$24*F8*(1-((F8/入力!$H$23)^(入力!$H$27-1))/入力!$H$27),IF(F8&lt;=入力!$H$26,入力!$H$24-入力!$H$25*(F8-入力!$H$23),0)))</f>
        <v>0</v>
      </c>
      <c r="H8">
        <f t="shared" si="1"/>
        <v>0</v>
      </c>
      <c r="I8">
        <f>H8*(入力!$D$3/2-D8)</f>
        <v>0</v>
      </c>
      <c r="K8">
        <f>IF(入力!J8="","",入力!J8)</f>
        <v>875</v>
      </c>
      <c r="L8">
        <f>入力!P8</f>
        <v>1588.4</v>
      </c>
      <c r="M8" s="87">
        <f>IF(入力!J8="","",$B$3+$B$15*(K8-$B$2))</f>
        <v>-1.8474610871551694E-2</v>
      </c>
      <c r="N8">
        <f>IF(入力!J8="","",IF(M8&lt;-入力!$H$19,-入力!$D$12,IF(M8&gt;入力!$H$19,入力!$D$12,入力!$D$17*M8)))</f>
        <v>-345</v>
      </c>
      <c r="O8">
        <f>IF(入力!J8="","",L8*N8)</f>
        <v>-547998</v>
      </c>
      <c r="P8">
        <f>IF(入力!J8="","",O8*(入力!$D$3/2-K8))</f>
        <v>-68499750</v>
      </c>
    </row>
    <row r="9" spans="1:16" x14ac:dyDescent="0.15">
      <c r="A9" t="s">
        <v>122</v>
      </c>
      <c r="D9">
        <f>入力!X9</f>
        <v>300</v>
      </c>
      <c r="E9" s="63">
        <f>入力!AI9</f>
        <v>148000</v>
      </c>
      <c r="F9" s="87">
        <f t="shared" si="0"/>
        <v>-3.1807719608156877E-2</v>
      </c>
      <c r="G9">
        <f>IF(F9&lt;=0,0,IF(F9&lt;=入力!$H$23,入力!$D$24*F9*(1-((F9/入力!$H$23)^(入力!$H$27-1))/入力!$H$27),IF(F9&lt;=入力!$H$26,入力!$H$24-入力!$H$25*(F9-入力!$H$23),0)))</f>
        <v>0</v>
      </c>
      <c r="H9">
        <f t="shared" si="1"/>
        <v>0</v>
      </c>
      <c r="I9">
        <f>H9*(入力!$D$3/2-D9)</f>
        <v>0</v>
      </c>
      <c r="K9">
        <f>IF(入力!J9="","",入力!J9)</f>
        <v>1000</v>
      </c>
      <c r="L9">
        <f>入力!P9</f>
        <v>3176.8</v>
      </c>
      <c r="M9" s="87">
        <f>IF(入力!J9="","",$B$3+$B$15*(K9-$B$2))</f>
        <v>-1.5576108972289698E-2</v>
      </c>
      <c r="N9">
        <f>IF(入力!J9="","",IF(M9&lt;-入力!$H$19,-入力!$D$12,IF(M9&gt;入力!$H$19,入力!$D$12,入力!$D$17*M9)))</f>
        <v>-345</v>
      </c>
      <c r="O9">
        <f>IF(入力!J9="","",L9*N9)</f>
        <v>-1095996</v>
      </c>
      <c r="P9">
        <f>IF(入力!J9="","",O9*(入力!$D$3/2-K9))</f>
        <v>0</v>
      </c>
    </row>
    <row r="10" spans="1:16" x14ac:dyDescent="0.15">
      <c r="A10" t="s">
        <v>90</v>
      </c>
      <c r="D10">
        <f>入力!X10</f>
        <v>340</v>
      </c>
      <c r="E10" s="63">
        <f>入力!AI10</f>
        <v>147987.27013196712</v>
      </c>
      <c r="F10" s="87">
        <f t="shared" si="0"/>
        <v>-3.088019900039304E-2</v>
      </c>
      <c r="G10">
        <f>IF(F10&lt;=0,0,IF(F10&lt;=入力!$H$23,入力!$D$24*F10*(1-((F10/入力!$H$23)^(入力!$H$27-1))/入力!$H$27),IF(F10&lt;=入力!$H$26,入力!$H$24-入力!$H$25*(F10-入力!$H$23),0)))</f>
        <v>0</v>
      </c>
      <c r="H10">
        <f t="shared" si="1"/>
        <v>0</v>
      </c>
      <c r="I10">
        <f>H10*(入力!$D$3/2-D10)</f>
        <v>0</v>
      </c>
      <c r="K10">
        <f>IF(入力!J10="","",入力!J10)</f>
        <v>1125</v>
      </c>
      <c r="L10">
        <f>入力!P10</f>
        <v>1588.4</v>
      </c>
      <c r="M10" s="87">
        <f>IF(入力!J10="","",$B$3+$B$15*(K10-$B$2))</f>
        <v>-1.2677607073027702E-2</v>
      </c>
      <c r="N10">
        <f>IF(入力!J10="","",IF(M10&lt;-入力!$H$19,-入力!$D$12,IF(M10&gt;入力!$H$19,入力!$D$12,入力!$D$17*M10)))</f>
        <v>-345</v>
      </c>
      <c r="O10">
        <f>IF(入力!J10="","",L10*N10)</f>
        <v>-547998</v>
      </c>
      <c r="P10">
        <f>IF(入力!J10="","",O10*(入力!$D$3/2-K10))</f>
        <v>68499750</v>
      </c>
    </row>
    <row r="11" spans="1:16" x14ac:dyDescent="0.15">
      <c r="A11" t="s">
        <v>123</v>
      </c>
      <c r="D11">
        <f>入力!X11</f>
        <v>380</v>
      </c>
      <c r="E11" s="63">
        <f>入力!AI11</f>
        <v>146424.32986803289</v>
      </c>
      <c r="F11" s="87">
        <f t="shared" si="0"/>
        <v>-2.9952678392629203E-2</v>
      </c>
      <c r="G11">
        <f>IF(F11&lt;=0,0,IF(F11&lt;=入力!$H$23,入力!$D$24*F11*(1-((F11/入力!$H$23)^(入力!$H$27-1))/入力!$H$27),IF(F11&lt;=入力!$H$26,入力!$H$24-入力!$H$25*(F11-入力!$H$23),0)))</f>
        <v>0</v>
      </c>
      <c r="H11">
        <f t="shared" si="1"/>
        <v>0</v>
      </c>
      <c r="I11">
        <f>H11*(入力!$D$3/2-D11)</f>
        <v>0</v>
      </c>
      <c r="K11">
        <f>IF(入力!J11="","",入力!J11)</f>
        <v>1250</v>
      </c>
      <c r="L11">
        <f>入力!P11</f>
        <v>3176.8</v>
      </c>
      <c r="M11" s="87">
        <f>IF(入力!J11="","",$B$3+$B$15*(K11-$B$2))</f>
        <v>-9.779105173765703E-3</v>
      </c>
      <c r="N11">
        <f>IF(入力!J11="","",IF(M11&lt;-入力!$H$19,-入力!$D$12,IF(M11&gt;入力!$H$19,入力!$D$12,入力!$D$17*M11)))</f>
        <v>-345</v>
      </c>
      <c r="O11">
        <f>IF(入力!J11="","",L11*N11)</f>
        <v>-1095996</v>
      </c>
      <c r="P11">
        <f>IF(入力!J11="","",O11*(入力!$D$3/2-K11))</f>
        <v>273999000</v>
      </c>
    </row>
    <row r="12" spans="1:16" x14ac:dyDescent="0.15">
      <c r="A12" t="s">
        <v>91</v>
      </c>
      <c r="D12">
        <f>入力!X12</f>
        <v>420</v>
      </c>
      <c r="E12" s="63">
        <f>入力!AI12</f>
        <v>148000</v>
      </c>
      <c r="F12" s="87">
        <f t="shared" si="0"/>
        <v>-2.9025157784865363E-2</v>
      </c>
      <c r="G12">
        <f>IF(F12&lt;=0,0,IF(F12&lt;=入力!$H$23,入力!$D$24*F12*(1-((F12/入力!$H$23)^(入力!$H$27-1))/入力!$H$27),IF(F12&lt;=入力!$H$26,入力!$H$24-入力!$H$25*(F12-入力!$H$23),0)))</f>
        <v>0</v>
      </c>
      <c r="H12">
        <f t="shared" si="1"/>
        <v>0</v>
      </c>
      <c r="I12">
        <f>H12*(入力!$D$3/2-D12)</f>
        <v>0</v>
      </c>
      <c r="K12">
        <f>IF(入力!J12="","",入力!J12)</f>
        <v>1375</v>
      </c>
      <c r="L12">
        <f>入力!P12</f>
        <v>1588.4</v>
      </c>
      <c r="M12" s="87">
        <f>IF(入力!J12="","",$B$3+$B$15*(K12-$B$2))</f>
        <v>-6.880603274503707E-3</v>
      </c>
      <c r="N12">
        <f>IF(入力!J12="","",IF(M12&lt;-入力!$H$19,-入力!$D$12,IF(M12&gt;入力!$H$19,入力!$D$12,入力!$D$17*M12)))</f>
        <v>-345</v>
      </c>
      <c r="O12">
        <f>IF(入力!J12="","",L12*N12)</f>
        <v>-547998</v>
      </c>
      <c r="P12">
        <f>IF(入力!J12="","",O12*(入力!$D$3/2-K12))</f>
        <v>205499250</v>
      </c>
    </row>
    <row r="13" spans="1:16" x14ac:dyDescent="0.15">
      <c r="A13" s="7" t="s">
        <v>124</v>
      </c>
      <c r="D13">
        <f>入力!X13</f>
        <v>460</v>
      </c>
      <c r="E13" s="63">
        <f>入力!AI13</f>
        <v>148000</v>
      </c>
      <c r="F13" s="87">
        <f t="shared" si="0"/>
        <v>-2.8097637177101523E-2</v>
      </c>
      <c r="G13">
        <f>IF(F13&lt;=0,0,IF(F13&lt;=入力!$H$23,入力!$D$24*F13*(1-((F13/入力!$H$23)^(入力!$H$27-1))/入力!$H$27),IF(F13&lt;=入力!$H$26,入力!$H$24-入力!$H$25*(F13-入力!$H$23),0)))</f>
        <v>0</v>
      </c>
      <c r="H13">
        <f t="shared" si="1"/>
        <v>0</v>
      </c>
      <c r="I13">
        <f>H13*(入力!$D$3/2-D13)</f>
        <v>0</v>
      </c>
      <c r="K13">
        <f>IF(入力!J13="","",入力!J13)</f>
        <v>1500</v>
      </c>
      <c r="L13">
        <f>入力!P13</f>
        <v>3176.8</v>
      </c>
      <c r="M13" s="87">
        <f>IF(入力!J13="","",$B$3+$B$15*(K13-$B$2))</f>
        <v>-3.9821013752417075E-3</v>
      </c>
      <c r="N13">
        <f>IF(入力!J13="","",IF(M13&lt;-入力!$H$19,-入力!$D$12,IF(M13&gt;入力!$H$19,入力!$D$12,入力!$D$17*M13)))</f>
        <v>-345</v>
      </c>
      <c r="O13">
        <f>IF(入力!J13="","",L13*N13)</f>
        <v>-1095996</v>
      </c>
      <c r="P13">
        <f>IF(入力!J13="","",O13*(入力!$D$3/2-K13))</f>
        <v>547998000</v>
      </c>
    </row>
    <row r="14" spans="1:16" x14ac:dyDescent="0.15">
      <c r="B14" t="s">
        <v>159</v>
      </c>
      <c r="D14">
        <f>入力!X14</f>
        <v>500</v>
      </c>
      <c r="E14" s="63">
        <f>入力!AI14</f>
        <v>144823.20000000001</v>
      </c>
      <c r="F14" s="87">
        <f t="shared" si="0"/>
        <v>-2.7170116569337682E-2</v>
      </c>
      <c r="G14">
        <f>IF(F14&lt;=0,0,IF(F14&lt;=入力!$H$23,入力!$D$24*F14*(1-((F14/入力!$H$23)^(入力!$H$27-1))/入力!$H$27),IF(F14&lt;=入力!$H$26,入力!$H$24-入力!$H$25*(F14-入力!$H$23),0)))</f>
        <v>0</v>
      </c>
      <c r="H14">
        <f t="shared" si="1"/>
        <v>0</v>
      </c>
      <c r="I14">
        <f>H14*(入力!$D$3/2-D14)</f>
        <v>0</v>
      </c>
      <c r="K14">
        <f>IF(入力!J14="","",入力!J14)</f>
        <v>1625</v>
      </c>
      <c r="L14">
        <f>入力!P14</f>
        <v>1588.4</v>
      </c>
      <c r="M14" s="87">
        <f>IF(入力!J14="","",$B$3+$B$15*(K14-$B$2))</f>
        <v>-1.0835994759797116E-3</v>
      </c>
      <c r="N14">
        <f>IF(入力!J14="","",IF(M14&lt;-入力!$H$19,-入力!$D$12,IF(M14&gt;入力!$H$19,入力!$D$12,入力!$D$17*M14)))</f>
        <v>-216.71989519594231</v>
      </c>
      <c r="O14">
        <f>IF(入力!J14="","",L14*N14)</f>
        <v>-344237.88152923482</v>
      </c>
      <c r="P14">
        <f>IF(入力!J14="","",O14*(入力!$D$3/2-K14))</f>
        <v>215148675.95577177</v>
      </c>
    </row>
    <row r="15" spans="1:16" x14ac:dyDescent="0.15">
      <c r="A15" s="4" t="s">
        <v>191</v>
      </c>
      <c r="B15" s="23">
        <v>2.3188015194095974E-5</v>
      </c>
      <c r="C15" s="24" t="s">
        <v>76</v>
      </c>
      <c r="D15">
        <f>入力!X15</f>
        <v>540</v>
      </c>
      <c r="E15" s="63">
        <f>入力!AI15</f>
        <v>148000</v>
      </c>
      <c r="F15" s="87">
        <f t="shared" si="0"/>
        <v>-2.6242595961573845E-2</v>
      </c>
      <c r="G15">
        <f>IF(F15&lt;=0,0,IF(F15&lt;=入力!$H$23,入力!$D$24*F15*(1-((F15/入力!$H$23)^(入力!$H$27-1))/入力!$H$27),IF(F15&lt;=入力!$H$26,入力!$H$24-入力!$H$25*(F15-入力!$H$23),0)))</f>
        <v>0</v>
      </c>
      <c r="H15">
        <f t="shared" si="1"/>
        <v>0</v>
      </c>
      <c r="I15">
        <f>H15*(入力!$D$3/2-D15)</f>
        <v>0</v>
      </c>
      <c r="K15">
        <f>IF(入力!J15="","",入力!J15)</f>
        <v>1750</v>
      </c>
      <c r="L15">
        <f>入力!P15</f>
        <v>13501.400000000001</v>
      </c>
      <c r="M15" s="87">
        <f>IF(入力!J15="","",$B$3+$B$15*(K15-$B$2))</f>
        <v>1.8149024232822844E-3</v>
      </c>
      <c r="N15">
        <f>IF(入力!J15="","",IF(M15&lt;-入力!$H$19,-入力!$D$12,IF(M15&gt;入力!$H$19,入力!$D$12,入力!$D$17*M15)))</f>
        <v>345</v>
      </c>
      <c r="O15">
        <f>IF(入力!J15="","",L15*N15)</f>
        <v>4657983.0000000009</v>
      </c>
      <c r="P15">
        <f>IF(入力!J15="","",O15*(入力!$D$3/2-K15))</f>
        <v>-3493487250.0000005</v>
      </c>
    </row>
    <row r="16" spans="1:16" x14ac:dyDescent="0.15">
      <c r="A16" s="4" t="s">
        <v>192</v>
      </c>
      <c r="B16" s="25">
        <f>-SUM(I2:I51)-SUM(P2:P51)</f>
        <v>34315350786.637138</v>
      </c>
      <c r="C16" s="4" t="s">
        <v>157</v>
      </c>
      <c r="D16">
        <f>入力!X16</f>
        <v>580</v>
      </c>
      <c r="E16" s="63">
        <f>入力!AI16</f>
        <v>148000</v>
      </c>
      <c r="F16" s="87">
        <f t="shared" si="0"/>
        <v>-2.5315075353810008E-2</v>
      </c>
      <c r="G16">
        <f>IF(F16&lt;=0,0,IF(F16&lt;=入力!$H$23,入力!$D$24*F16*(1-((F16/入力!$H$23)^(入力!$H$27-1))/入力!$H$27),IF(F16&lt;=入力!$H$26,入力!$H$24-入力!$H$25*(F16-入力!$H$23),0)))</f>
        <v>0</v>
      </c>
      <c r="H16">
        <f t="shared" si="1"/>
        <v>0</v>
      </c>
      <c r="I16">
        <f>H16*(入力!$D$3/2-D16)</f>
        <v>0</v>
      </c>
      <c r="K16">
        <f>IF(入力!J16="","",入力!J16)</f>
        <v>1850</v>
      </c>
      <c r="L16">
        <f>入力!P16</f>
        <v>24620.2</v>
      </c>
      <c r="M16" s="87">
        <f>IF(入力!J16="","",$B$3+$B$15*(K16-$B$2))</f>
        <v>4.1337039426918784E-3</v>
      </c>
      <c r="N16">
        <f>IF(入力!J16="","",IF(M16&lt;-入力!$H$19,-入力!$D$12,IF(M16&gt;入力!$H$19,入力!$D$12,入力!$D$17*M16)))</f>
        <v>345</v>
      </c>
      <c r="O16">
        <f>IF(入力!J16="","",L16*N16)</f>
        <v>8493969</v>
      </c>
      <c r="P16">
        <f>IF(入力!J16="","",O16*(入力!$D$3/2-K16))</f>
        <v>-7219873650</v>
      </c>
    </row>
    <row r="17" spans="1:16" x14ac:dyDescent="0.15">
      <c r="A17" s="18"/>
      <c r="B17" s="18"/>
      <c r="D17">
        <f>入力!X17</f>
        <v>620</v>
      </c>
      <c r="E17" s="63">
        <f>入力!AI17</f>
        <v>146424.27779052482</v>
      </c>
      <c r="F17" s="87">
        <f t="shared" si="0"/>
        <v>-2.4387554746046168E-2</v>
      </c>
      <c r="G17">
        <f>IF(F17&lt;=0,0,IF(F17&lt;=入力!$H$23,入力!$D$24*F17*(1-((F17/入力!$H$23)^(入力!$H$27-1))/入力!$H$27),IF(F17&lt;=入力!$H$26,入力!$H$24-入力!$H$25*(F17-入力!$H$23),0)))</f>
        <v>0</v>
      </c>
      <c r="H17">
        <f t="shared" si="1"/>
        <v>0</v>
      </c>
      <c r="I17">
        <f>H17*(入力!$D$3/2-D17)</f>
        <v>0</v>
      </c>
      <c r="K17" t="str">
        <f>IF(入力!J17="","",入力!J17)</f>
        <v/>
      </c>
      <c r="L17" t="str">
        <f>入力!P17</f>
        <v/>
      </c>
      <c r="M17" s="87" t="str">
        <f>IF(入力!J17="","",$B$3+$B$15*(K17-$B$2))</f>
        <v/>
      </c>
      <c r="N17" t="str">
        <f>IF(入力!J17="","",IF(M17&lt;-入力!$H$19,-入力!$D$12,IF(M17&gt;入力!$H$19,入力!$D$12,入力!$D$17*M17)))</f>
        <v/>
      </c>
      <c r="O17" t="str">
        <f>IF(入力!J17="","",L17*N17)</f>
        <v/>
      </c>
      <c r="P17" t="str">
        <f>IF(入力!J17="","",O17*(入力!$D$3/2-K17))</f>
        <v/>
      </c>
    </row>
    <row r="18" spans="1:16" x14ac:dyDescent="0.15">
      <c r="A18" s="18"/>
      <c r="B18" s="18"/>
      <c r="D18">
        <f>入力!X18</f>
        <v>660</v>
      </c>
      <c r="E18" s="63">
        <f>入力!AI18</f>
        <v>147987.32220947518</v>
      </c>
      <c r="F18" s="87">
        <f t="shared" si="0"/>
        <v>-2.3460034138282328E-2</v>
      </c>
      <c r="G18">
        <f>IF(F18&lt;=0,0,IF(F18&lt;=入力!$H$23,入力!$D$24*F18*(1-((F18/入力!$H$23)^(入力!$H$27-1))/入力!$H$27),IF(F18&lt;=入力!$H$26,入力!$H$24-入力!$H$25*(F18-入力!$H$23),0)))</f>
        <v>0</v>
      </c>
      <c r="H18">
        <f t="shared" si="1"/>
        <v>0</v>
      </c>
      <c r="I18">
        <f>H18*(入力!$D$3/2-D18)</f>
        <v>0</v>
      </c>
      <c r="K18" t="str">
        <f>IF(入力!J18="","",入力!J18)</f>
        <v/>
      </c>
      <c r="L18" t="str">
        <f>入力!P18</f>
        <v/>
      </c>
      <c r="M18" s="87" t="str">
        <f>IF(入力!J18="","",$B$3+$B$15*(K18-$B$2))</f>
        <v/>
      </c>
      <c r="N18" t="str">
        <f>IF(入力!J18="","",IF(M18&lt;-入力!$H$19,-入力!$D$12,IF(M18&gt;入力!$H$19,入力!$D$12,入力!$D$17*M18)))</f>
        <v/>
      </c>
      <c r="O18" t="str">
        <f>IF(入力!J18="","",L18*N18)</f>
        <v/>
      </c>
      <c r="P18" t="str">
        <f>IF(入力!J18="","",O18*(入力!$D$3/2-K18))</f>
        <v/>
      </c>
    </row>
    <row r="19" spans="1:16" x14ac:dyDescent="0.15">
      <c r="A19" s="18"/>
      <c r="B19" s="18"/>
      <c r="D19">
        <f>入力!X19</f>
        <v>700</v>
      </c>
      <c r="E19" s="63">
        <f>入力!AI19</f>
        <v>148000</v>
      </c>
      <c r="F19" s="87">
        <f t="shared" si="0"/>
        <v>-2.2532513530518487E-2</v>
      </c>
      <c r="G19">
        <f>IF(F19&lt;=0,0,IF(F19&lt;=入力!$H$23,入力!$D$24*F19*(1-((F19/入力!$H$23)^(入力!$H$27-1))/入力!$H$27),IF(F19&lt;=入力!$H$26,入力!$H$24-入力!$H$25*(F19-入力!$H$23),0)))</f>
        <v>0</v>
      </c>
      <c r="H19">
        <f t="shared" si="1"/>
        <v>0</v>
      </c>
      <c r="I19">
        <f>H19*(入力!$D$3/2-D19)</f>
        <v>0</v>
      </c>
      <c r="K19" t="str">
        <f>IF(入力!J19="","",入力!J19)</f>
        <v/>
      </c>
      <c r="L19" t="str">
        <f>入力!P19</f>
        <v/>
      </c>
      <c r="M19" s="87" t="str">
        <f>IF(入力!J19="","",$B$3+$B$15*(K19-$B$2))</f>
        <v/>
      </c>
      <c r="N19" t="str">
        <f>IF(入力!J19="","",IF(M19&lt;-入力!$H$19,-入力!$D$12,IF(M19&gt;入力!$H$19,入力!$D$12,入力!$D$17*M19)))</f>
        <v/>
      </c>
      <c r="O19" t="str">
        <f>IF(入力!J19="","",L19*N19)</f>
        <v/>
      </c>
      <c r="P19" t="str">
        <f>IF(入力!J19="","",O19*(入力!$D$3/2-K19))</f>
        <v/>
      </c>
    </row>
    <row r="20" spans="1:16" x14ac:dyDescent="0.15">
      <c r="A20" s="18"/>
      <c r="B20" s="18"/>
      <c r="D20">
        <f>入力!X20</f>
        <v>740</v>
      </c>
      <c r="E20" s="63">
        <f>入力!AI20</f>
        <v>145229.26014005265</v>
      </c>
      <c r="F20" s="87">
        <f t="shared" si="0"/>
        <v>-2.160499292275465E-2</v>
      </c>
      <c r="G20">
        <f>IF(F20&lt;=0,0,IF(F20&lt;=入力!$H$23,入力!$D$24*F20*(1-((F20/入力!$H$23)^(入力!$H$27-1))/入力!$H$27),IF(F20&lt;=入力!$H$26,入力!$H$24-入力!$H$25*(F20-入力!$H$23),0)))</f>
        <v>0</v>
      </c>
      <c r="H20">
        <f t="shared" si="1"/>
        <v>0</v>
      </c>
      <c r="I20">
        <f>H20*(入力!$D$3/2-D20)</f>
        <v>0</v>
      </c>
      <c r="K20" t="str">
        <f>IF(入力!J20="","",入力!J20)</f>
        <v/>
      </c>
      <c r="L20" t="str">
        <f>入力!P20</f>
        <v/>
      </c>
      <c r="M20" s="87" t="str">
        <f>IF(入力!J20="","",$B$3+$B$15*(K20-$B$2))</f>
        <v/>
      </c>
      <c r="N20" t="str">
        <f>IF(入力!J20="","",IF(M20&lt;-入力!$H$19,-入力!$D$12,IF(M20&gt;入力!$H$19,入力!$D$12,入力!$D$17*M20)))</f>
        <v/>
      </c>
      <c r="O20" t="str">
        <f>IF(入力!J20="","",L20*N20)</f>
        <v/>
      </c>
      <c r="P20" t="str">
        <f>IF(入力!J20="","",O20*(入力!$D$3/2-K20))</f>
        <v/>
      </c>
    </row>
    <row r="21" spans="1:16" x14ac:dyDescent="0.15">
      <c r="A21" s="18"/>
      <c r="B21" s="18"/>
      <c r="D21">
        <f>入力!X21</f>
        <v>780</v>
      </c>
      <c r="E21" s="63">
        <f>入力!AI21</f>
        <v>147593.93985994734</v>
      </c>
      <c r="F21" s="87">
        <f t="shared" si="0"/>
        <v>-2.0677472314990814E-2</v>
      </c>
      <c r="G21">
        <f>IF(F21&lt;=0,0,IF(F21&lt;=入力!$H$23,入力!$D$24*F21*(1-((F21/入力!$H$23)^(入力!$H$27-1))/入力!$H$27),IF(F21&lt;=入力!$H$26,入力!$H$24-入力!$H$25*(F21-入力!$H$23),0)))</f>
        <v>0</v>
      </c>
      <c r="H21">
        <f t="shared" si="1"/>
        <v>0</v>
      </c>
      <c r="I21">
        <f>H21*(入力!$D$3/2-D21)</f>
        <v>0</v>
      </c>
      <c r="K21" t="str">
        <f>IF(入力!J21="","",入力!J21)</f>
        <v/>
      </c>
      <c r="L21" t="str">
        <f>入力!P21</f>
        <v/>
      </c>
      <c r="M21" s="87" t="str">
        <f>IF(入力!J21="","",$B$3+$B$15*(K21-$B$2))</f>
        <v/>
      </c>
      <c r="N21" t="str">
        <f>IF(入力!J21="","",IF(M21&lt;-入力!$H$19,-入力!$D$12,IF(M21&gt;入力!$H$19,入力!$D$12,入力!$D$17*M21)))</f>
        <v/>
      </c>
      <c r="O21" t="str">
        <f>IF(入力!J21="","",L21*N21)</f>
        <v/>
      </c>
      <c r="P21" t="str">
        <f>IF(入力!J21="","",O21*(入力!$D$3/2-K21))</f>
        <v/>
      </c>
    </row>
    <row r="22" spans="1:16" x14ac:dyDescent="0.15">
      <c r="A22" s="18"/>
      <c r="B22" s="18"/>
      <c r="D22">
        <f>入力!X22</f>
        <v>820</v>
      </c>
      <c r="E22" s="63">
        <f>入力!AI22</f>
        <v>148000</v>
      </c>
      <c r="F22" s="87">
        <f t="shared" si="0"/>
        <v>-1.9749951707226973E-2</v>
      </c>
      <c r="G22">
        <f>IF(F22&lt;=0,0,IF(F22&lt;=入力!$H$23,入力!$D$24*F22*(1-((F22/入力!$H$23)^(入力!$H$27-1))/入力!$H$27),IF(F22&lt;=入力!$H$26,入力!$H$24-入力!$H$25*(F22-入力!$H$23),0)))</f>
        <v>0</v>
      </c>
      <c r="H22">
        <f t="shared" si="1"/>
        <v>0</v>
      </c>
      <c r="I22">
        <f>H22*(入力!$D$3/2-D22)</f>
        <v>0</v>
      </c>
      <c r="K22" t="str">
        <f>IF(入力!J22="","",入力!J22)</f>
        <v/>
      </c>
      <c r="L22" t="str">
        <f>入力!P22</f>
        <v/>
      </c>
      <c r="M22" s="87" t="str">
        <f>IF(入力!J22="","",$B$3+$B$15*(K22-$B$2))</f>
        <v/>
      </c>
      <c r="N22" t="str">
        <f>IF(入力!J22="","",IF(M22&lt;-入力!$H$19,-入力!$D$12,IF(M22&gt;入力!$H$19,入力!$D$12,入力!$D$17*M22)))</f>
        <v/>
      </c>
      <c r="O22" t="str">
        <f>IF(入力!J22="","",L22*N22)</f>
        <v/>
      </c>
      <c r="P22" t="str">
        <f>IF(入力!J22="","",O22*(入力!$D$3/2-K22))</f>
        <v/>
      </c>
    </row>
    <row r="23" spans="1:16" x14ac:dyDescent="0.15">
      <c r="A23" s="18"/>
      <c r="B23" s="18"/>
      <c r="D23">
        <f>入力!X23</f>
        <v>860</v>
      </c>
      <c r="E23" s="63">
        <f>入力!AI23</f>
        <v>146893.09567954077</v>
      </c>
      <c r="F23" s="87">
        <f t="shared" si="0"/>
        <v>-1.8822431099463133E-2</v>
      </c>
      <c r="G23">
        <f>IF(F23&lt;=0,0,IF(F23&lt;=入力!$H$23,入力!$D$24*F23*(1-((F23/入力!$H$23)^(入力!$H$27-1))/入力!$H$27),IF(F23&lt;=入力!$H$26,入力!$H$24-入力!$H$25*(F23-入力!$H$23),0)))</f>
        <v>0</v>
      </c>
      <c r="H23">
        <f t="shared" si="1"/>
        <v>0</v>
      </c>
      <c r="I23">
        <f>H23*(入力!$D$3/2-D23)</f>
        <v>0</v>
      </c>
      <c r="K23" t="str">
        <f>IF(入力!J23="","",入力!J23)</f>
        <v/>
      </c>
      <c r="L23" t="str">
        <f>入力!P23</f>
        <v/>
      </c>
      <c r="M23" s="87" t="str">
        <f>IF(入力!J23="","",$B$3+$B$15*(K23-$B$2))</f>
        <v/>
      </c>
      <c r="N23" t="str">
        <f>IF(入力!J23="","",IF(M23&lt;-入力!$H$19,-入力!$D$12,IF(M23&gt;入力!$H$19,入力!$D$12,入力!$D$17*M23)))</f>
        <v/>
      </c>
      <c r="O23" t="str">
        <f>IF(入力!J23="","",L23*N23)</f>
        <v/>
      </c>
      <c r="P23" t="str">
        <f>IF(入力!J23="","",O23*(入力!$D$3/2-K23))</f>
        <v/>
      </c>
    </row>
    <row r="24" spans="1:16" x14ac:dyDescent="0.15">
      <c r="A24" s="18"/>
      <c r="B24" s="18"/>
      <c r="D24">
        <f>入力!X24</f>
        <v>900</v>
      </c>
      <c r="E24" s="63">
        <f>入力!AI24</f>
        <v>147518.50432045924</v>
      </c>
      <c r="F24" s="87">
        <f t="shared" si="0"/>
        <v>-1.7894910491699296E-2</v>
      </c>
      <c r="G24">
        <f>IF(F24&lt;=0,0,IF(F24&lt;=入力!$H$23,入力!$D$24*F24*(1-((F24/入力!$H$23)^(入力!$H$27-1))/入力!$H$27),IF(F24&lt;=入力!$H$26,入力!$H$24-入力!$H$25*(F24-入力!$H$23),0)))</f>
        <v>0</v>
      </c>
      <c r="H24">
        <f t="shared" si="1"/>
        <v>0</v>
      </c>
      <c r="I24">
        <f>H24*(入力!$D$3/2-D24)</f>
        <v>0</v>
      </c>
      <c r="K24" t="str">
        <f>IF(入力!J24="","",入力!J24)</f>
        <v/>
      </c>
      <c r="L24" t="str">
        <f>入力!P24</f>
        <v/>
      </c>
      <c r="M24" s="87" t="str">
        <f>IF(入力!J24="","",$B$3+$B$15*(K24-$B$2))</f>
        <v/>
      </c>
      <c r="N24" t="str">
        <f>IF(入力!J24="","",IF(M24&lt;-入力!$H$19,-入力!$D$12,IF(M24&gt;入力!$H$19,入力!$D$12,入力!$D$17*M24)))</f>
        <v/>
      </c>
      <c r="O24" t="str">
        <f>IF(入力!J24="","",L24*N24)</f>
        <v/>
      </c>
      <c r="P24" t="str">
        <f>IF(入力!J24="","",O24*(入力!$D$3/2-K24))</f>
        <v/>
      </c>
    </row>
    <row r="25" spans="1:16" x14ac:dyDescent="0.15">
      <c r="A25" s="18"/>
      <c r="B25" s="18"/>
      <c r="D25">
        <f>入力!X25</f>
        <v>940</v>
      </c>
      <c r="E25" s="63">
        <f>入力!AI25</f>
        <v>148000</v>
      </c>
      <c r="F25" s="87">
        <f t="shared" si="0"/>
        <v>-1.6967389883935455E-2</v>
      </c>
      <c r="G25">
        <f>IF(F25&lt;=0,0,IF(F25&lt;=入力!$H$23,入力!$D$24*F25*(1-((F25/入力!$H$23)^(入力!$H$27-1))/入力!$H$27),IF(F25&lt;=入力!$H$26,入力!$H$24-入力!$H$25*(F25-入力!$H$23),0)))</f>
        <v>0</v>
      </c>
      <c r="H25">
        <f t="shared" si="1"/>
        <v>0</v>
      </c>
      <c r="I25">
        <f>H25*(入力!$D$3/2-D25)</f>
        <v>0</v>
      </c>
      <c r="K25" t="str">
        <f>IF(入力!J25="","",入力!J25)</f>
        <v/>
      </c>
      <c r="L25" t="str">
        <f>入力!P25</f>
        <v/>
      </c>
      <c r="M25" s="87" t="str">
        <f>IF(入力!J25="","",$B$3+$B$15*(K25-$B$2))</f>
        <v/>
      </c>
      <c r="N25" t="str">
        <f>IF(入力!J25="","",IF(M25&lt;-入力!$H$19,-入力!$D$12,IF(M25&gt;入力!$H$19,入力!$D$12,入力!$D$17*M25)))</f>
        <v/>
      </c>
      <c r="O25" t="str">
        <f>IF(入力!J25="","",L25*N25)</f>
        <v/>
      </c>
      <c r="P25" t="str">
        <f>IF(入力!J25="","",O25*(入力!$D$3/2-K25))</f>
        <v/>
      </c>
    </row>
    <row r="26" spans="1:16" x14ac:dyDescent="0.15">
      <c r="A26" s="18"/>
      <c r="B26" s="18"/>
      <c r="D26">
        <f>入力!X26</f>
        <v>980</v>
      </c>
      <c r="E26" s="63">
        <f>入力!AI26</f>
        <v>146411.54792249191</v>
      </c>
      <c r="F26" s="87">
        <f t="shared" si="0"/>
        <v>-1.6039869276171619E-2</v>
      </c>
      <c r="G26">
        <f>IF(F26&lt;=0,0,IF(F26&lt;=入力!$H$23,入力!$D$24*F26*(1-((F26/入力!$H$23)^(入力!$H$27-1))/入力!$H$27),IF(F26&lt;=入力!$H$26,入力!$H$24-入力!$H$25*(F26-入力!$H$23),0)))</f>
        <v>0</v>
      </c>
      <c r="H26">
        <f t="shared" si="1"/>
        <v>0</v>
      </c>
      <c r="I26">
        <f>H26*(入力!$D$3/2-D26)</f>
        <v>0</v>
      </c>
      <c r="K26" t="str">
        <f>IF(入力!J26="","",入力!J26)</f>
        <v/>
      </c>
      <c r="L26" t="str">
        <f>入力!P26</f>
        <v/>
      </c>
      <c r="M26" s="87" t="str">
        <f>IF(入力!J26="","",$B$3+$B$15*(K26-$B$2))</f>
        <v/>
      </c>
      <c r="N26" t="str">
        <f>IF(入力!J26="","",IF(M26&lt;-入力!$H$19,-入力!$D$12,IF(M26&gt;入力!$H$19,入力!$D$12,入力!$D$17*M26)))</f>
        <v/>
      </c>
      <c r="O26" t="str">
        <f>IF(入力!J26="","",L26*N26)</f>
        <v/>
      </c>
      <c r="P26" t="str">
        <f>IF(入力!J26="","",O26*(入力!$D$3/2-K26))</f>
        <v/>
      </c>
    </row>
    <row r="27" spans="1:16" x14ac:dyDescent="0.15">
      <c r="A27" s="18"/>
      <c r="B27" s="18"/>
      <c r="D27">
        <f>入力!X27</f>
        <v>1020</v>
      </c>
      <c r="E27" s="63">
        <f>入力!AI27</f>
        <v>146411.65207750807</v>
      </c>
      <c r="F27" s="87">
        <f t="shared" si="0"/>
        <v>-1.5112348668407778E-2</v>
      </c>
      <c r="G27">
        <f>IF(F27&lt;=0,0,IF(F27&lt;=入力!$H$23,入力!$D$24*F27*(1-((F27/入力!$H$23)^(入力!$H$27-1))/入力!$H$27),IF(F27&lt;=入力!$H$26,入力!$H$24-入力!$H$25*(F27-入力!$H$23),0)))</f>
        <v>0</v>
      </c>
      <c r="H27">
        <f t="shared" si="1"/>
        <v>0</v>
      </c>
      <c r="I27">
        <f>H27*(入力!$D$3/2-D27)</f>
        <v>0</v>
      </c>
      <c r="K27" t="str">
        <f>IF(入力!J27="","",入力!J27)</f>
        <v/>
      </c>
      <c r="L27" t="str">
        <f>入力!P27</f>
        <v/>
      </c>
      <c r="M27" s="87" t="str">
        <f>IF(入力!J27="","",$B$3+$B$15*(K27-$B$2))</f>
        <v/>
      </c>
      <c r="N27" t="str">
        <f>IF(入力!J27="","",IF(M27&lt;-入力!$H$19,-入力!$D$12,IF(M27&gt;入力!$H$19,入力!$D$12,入力!$D$17*M27)))</f>
        <v/>
      </c>
      <c r="O27" t="str">
        <f>IF(入力!J27="","",L27*N27)</f>
        <v/>
      </c>
      <c r="P27" t="str">
        <f>IF(入力!J27="","",O27*(入力!$D$3/2-K27))</f>
        <v/>
      </c>
    </row>
    <row r="28" spans="1:16" x14ac:dyDescent="0.15">
      <c r="A28" s="18"/>
      <c r="B28" s="18"/>
      <c r="D28">
        <f>入力!X28</f>
        <v>1060</v>
      </c>
      <c r="E28" s="63">
        <f>入力!AI28</f>
        <v>148000</v>
      </c>
      <c r="F28" s="87">
        <f t="shared" si="0"/>
        <v>-1.4184828060643938E-2</v>
      </c>
      <c r="G28">
        <f>IF(F28&lt;=0,0,IF(F28&lt;=入力!$H$23,入力!$D$24*F28*(1-((F28/入力!$H$23)^(入力!$H$27-1))/入力!$H$27),IF(F28&lt;=入力!$H$26,入力!$H$24-入力!$H$25*(F28-入力!$H$23),0)))</f>
        <v>0</v>
      </c>
      <c r="H28">
        <f t="shared" si="1"/>
        <v>0</v>
      </c>
      <c r="I28">
        <f>H28*(入力!$D$3/2-D28)</f>
        <v>0</v>
      </c>
      <c r="K28" t="str">
        <f>IF(入力!J28="","",入力!J28)</f>
        <v/>
      </c>
      <c r="L28" t="str">
        <f>入力!P28</f>
        <v/>
      </c>
      <c r="M28" s="87" t="str">
        <f>IF(入力!J28="","",$B$3+$B$15*(K28-$B$2))</f>
        <v/>
      </c>
      <c r="N28" t="str">
        <f>IF(入力!J28="","",IF(M28&lt;-入力!$H$19,-入力!$D$12,IF(M28&gt;入力!$H$19,入力!$D$12,入力!$D$17*M28)))</f>
        <v/>
      </c>
      <c r="O28" t="str">
        <f>IF(入力!J28="","",L28*N28)</f>
        <v/>
      </c>
      <c r="P28" t="str">
        <f>IF(入力!J28="","",O28*(入力!$D$3/2-K28))</f>
        <v/>
      </c>
    </row>
    <row r="29" spans="1:16" x14ac:dyDescent="0.15">
      <c r="A29" s="18"/>
      <c r="B29" s="18"/>
      <c r="D29">
        <f>入力!X29</f>
        <v>1100</v>
      </c>
      <c r="E29" s="63">
        <f>入力!AI29</f>
        <v>147518.45224295117</v>
      </c>
      <c r="F29" s="87">
        <f t="shared" si="0"/>
        <v>-1.3257307452880101E-2</v>
      </c>
      <c r="G29">
        <f>IF(F29&lt;=0,0,IF(F29&lt;=入力!$H$23,入力!$D$24*F29*(1-((F29/入力!$H$23)^(入力!$H$27-1))/入力!$H$27),IF(F29&lt;=入力!$H$26,入力!$H$24-入力!$H$25*(F29-入力!$H$23),0)))</f>
        <v>0</v>
      </c>
      <c r="H29">
        <f t="shared" si="1"/>
        <v>0</v>
      </c>
      <c r="I29">
        <f>H29*(入力!$D$3/2-D29)</f>
        <v>0</v>
      </c>
      <c r="K29" t="str">
        <f>IF(入力!J29="","",入力!J29)</f>
        <v/>
      </c>
      <c r="L29" t="str">
        <f>入力!P29</f>
        <v/>
      </c>
      <c r="M29" s="87" t="str">
        <f>IF(入力!J29="","",$B$3+$B$15*(K29-$B$2))</f>
        <v/>
      </c>
      <c r="N29" t="str">
        <f>IF(入力!J29="","",IF(M29&lt;-入力!$H$19,-入力!$D$12,IF(M29&gt;入力!$H$19,入力!$D$12,入力!$D$17*M29)))</f>
        <v/>
      </c>
      <c r="O29" t="str">
        <f>IF(入力!J29="","",L29*N29)</f>
        <v/>
      </c>
      <c r="P29" t="str">
        <f>IF(入力!J29="","",O29*(入力!$D$3/2-K29))</f>
        <v/>
      </c>
    </row>
    <row r="30" spans="1:16" x14ac:dyDescent="0.15">
      <c r="D30">
        <f>入力!X30</f>
        <v>1140</v>
      </c>
      <c r="E30" s="63">
        <f>入力!AI30</f>
        <v>146893.14775704884</v>
      </c>
      <c r="F30" s="87">
        <f t="shared" si="0"/>
        <v>-1.2329786845116261E-2</v>
      </c>
      <c r="G30">
        <f>IF(F30&lt;=0,0,IF(F30&lt;=入力!$H$23,入力!$D$24*F30*(1-((F30/入力!$H$23)^(入力!$H$27-1))/入力!$H$27),IF(F30&lt;=入力!$H$26,入力!$H$24-入力!$H$25*(F30-入力!$H$23),0)))</f>
        <v>0</v>
      </c>
      <c r="H30">
        <f t="shared" si="1"/>
        <v>0</v>
      </c>
      <c r="I30">
        <f>H30*(入力!$D$3/2-D30)</f>
        <v>0</v>
      </c>
      <c r="K30" t="str">
        <f>IF(入力!J30="","",入力!J30)</f>
        <v/>
      </c>
      <c r="L30" t="str">
        <f>入力!P30</f>
        <v/>
      </c>
      <c r="M30" s="87" t="str">
        <f>IF(入力!J30="","",$B$3+$B$15*(K30-$B$2))</f>
        <v/>
      </c>
      <c r="N30" t="str">
        <f>IF(入力!J30="","",IF(M30&lt;-入力!$H$19,-入力!$D$12,IF(M30&gt;入力!$H$19,入力!$D$12,入力!$D$17*M30)))</f>
        <v/>
      </c>
      <c r="O30" t="str">
        <f>IF(入力!J30="","",L30*N30)</f>
        <v/>
      </c>
      <c r="P30" t="str">
        <f>IF(入力!J30="","",O30*(入力!$D$3/2-K30))</f>
        <v/>
      </c>
    </row>
    <row r="31" spans="1:16" x14ac:dyDescent="0.15">
      <c r="D31">
        <f>入力!X31</f>
        <v>1200</v>
      </c>
      <c r="E31" s="63">
        <f>入力!AI31</f>
        <v>148000</v>
      </c>
      <c r="F31" s="87">
        <f t="shared" si="0"/>
        <v>-1.0938505933470503E-2</v>
      </c>
      <c r="G31">
        <f>IF(F31&lt;=0,0,IF(F31&lt;=入力!$H$23,入力!$D$24*F31*(1-((F31/入力!$H$23)^(入力!$H$27-1))/入力!$H$27),IF(F31&lt;=入力!$H$26,入力!$H$24-入力!$H$25*(F31-入力!$H$23),0)))</f>
        <v>0</v>
      </c>
      <c r="H31">
        <f t="shared" si="1"/>
        <v>0</v>
      </c>
      <c r="I31">
        <f>H31*(入力!$D$3/2-D31)</f>
        <v>0</v>
      </c>
      <c r="K31" t="str">
        <f>IF(入力!J31="","",入力!J31)</f>
        <v/>
      </c>
      <c r="L31" t="str">
        <f>入力!P31</f>
        <v/>
      </c>
      <c r="M31" s="87" t="str">
        <f>IF(入力!J31="","",$B$3+$B$15*(K31-$B$2))</f>
        <v/>
      </c>
      <c r="N31" t="str">
        <f>IF(入力!J31="","",IF(M31&lt;-入力!$H$19,-入力!$D$12,IF(M31&gt;入力!$H$19,入力!$D$12,入力!$D$17*M31)))</f>
        <v/>
      </c>
      <c r="O31" t="str">
        <f>IF(入力!J31="","",L31*N31)</f>
        <v/>
      </c>
      <c r="P31" t="str">
        <f>IF(入力!J31="","",O31*(入力!$D$3/2-K31))</f>
        <v/>
      </c>
    </row>
    <row r="32" spans="1:16" x14ac:dyDescent="0.15">
      <c r="D32">
        <f>入力!X32</f>
        <v>1240</v>
      </c>
      <c r="E32" s="63">
        <f>入力!AI32</f>
        <v>147593.8357049312</v>
      </c>
      <c r="F32" s="87">
        <f t="shared" si="0"/>
        <v>-1.0010985325706663E-2</v>
      </c>
      <c r="G32">
        <f>IF(F32&lt;=0,0,IF(F32&lt;=入力!$H$23,入力!$D$24*F32*(1-((F32/入力!$H$23)^(入力!$H$27-1))/入力!$H$27),IF(F32&lt;=入力!$H$26,入力!$H$24-入力!$H$25*(F32-入力!$H$23),0)))</f>
        <v>0</v>
      </c>
      <c r="H32">
        <f t="shared" si="1"/>
        <v>0</v>
      </c>
      <c r="I32">
        <f>H32*(入力!$D$3/2-D32)</f>
        <v>0</v>
      </c>
      <c r="K32" t="str">
        <f>IF(入力!J32="","",入力!J32)</f>
        <v/>
      </c>
      <c r="L32" t="str">
        <f>入力!P32</f>
        <v/>
      </c>
      <c r="M32" s="87" t="str">
        <f>IF(入力!J32="","",$B$3+$B$15*(K32-$B$2))</f>
        <v/>
      </c>
      <c r="N32" t="str">
        <f>IF(入力!J32="","",IF(M32&lt;-入力!$H$19,-入力!$D$12,IF(M32&gt;入力!$H$19,入力!$D$12,入力!$D$17*M32)))</f>
        <v/>
      </c>
      <c r="O32" t="str">
        <f>IF(入力!J32="","",L32*N32)</f>
        <v/>
      </c>
      <c r="P32" t="str">
        <f>IF(入力!J32="","",O32*(入力!$D$3/2-K32))</f>
        <v/>
      </c>
    </row>
    <row r="33" spans="4:16" x14ac:dyDescent="0.15">
      <c r="D33">
        <f>入力!X33</f>
        <v>1280</v>
      </c>
      <c r="E33" s="63">
        <f>入力!AI33</f>
        <v>145229.36429506881</v>
      </c>
      <c r="F33" s="87">
        <f t="shared" si="0"/>
        <v>-9.0834647179428261E-3</v>
      </c>
      <c r="G33">
        <f>IF(F33&lt;=0,0,IF(F33&lt;=入力!$H$23,入力!$D$24*F33*(1-((F33/入力!$H$23)^(入力!$H$27-1))/入力!$H$27),IF(F33&lt;=入力!$H$26,入力!$H$24-入力!$H$25*(F33-入力!$H$23),0)))</f>
        <v>0</v>
      </c>
      <c r="H33">
        <f t="shared" si="1"/>
        <v>0</v>
      </c>
      <c r="I33">
        <f>H33*(入力!$D$3/2-D33)</f>
        <v>0</v>
      </c>
      <c r="K33" t="str">
        <f>IF(入力!J33="","",入力!J33)</f>
        <v/>
      </c>
      <c r="L33" t="str">
        <f>入力!P33</f>
        <v/>
      </c>
      <c r="M33" s="87" t="str">
        <f>IF(入力!J33="","",$B$3+$B$15*(K33-$B$2))</f>
        <v/>
      </c>
      <c r="N33" t="str">
        <f>IF(入力!J33="","",IF(M33&lt;-入力!$H$19,-入力!$D$12,IF(M33&gt;入力!$H$19,入力!$D$12,入力!$D$17*M33)))</f>
        <v/>
      </c>
      <c r="O33" t="str">
        <f>IF(入力!J33="","",L33*N33)</f>
        <v/>
      </c>
      <c r="P33" t="str">
        <f>IF(入力!J33="","",O33*(入力!$D$3/2-K33))</f>
        <v/>
      </c>
    </row>
    <row r="34" spans="4:16" x14ac:dyDescent="0.15">
      <c r="D34">
        <f>入力!X34</f>
        <v>1320</v>
      </c>
      <c r="E34" s="63">
        <f>入力!AI34</f>
        <v>148000</v>
      </c>
      <c r="F34" s="87">
        <f t="shared" ref="F34:F51" si="2">$B$3+$B$15*(D34-$B$2)</f>
        <v>-8.1559441101789858E-3</v>
      </c>
      <c r="G34">
        <f>IF(F34&lt;=0,0,IF(F34&lt;=入力!$H$23,入力!$D$24*F34*(1-((F34/入力!$H$23)^(入力!$H$27-1))/入力!$H$27),IF(F34&lt;=入力!$H$26,入力!$H$24-入力!$H$25*(F34-入力!$H$23),0)))</f>
        <v>0</v>
      </c>
      <c r="H34">
        <f t="shared" si="1"/>
        <v>0</v>
      </c>
      <c r="I34">
        <f>H34*(入力!$D$3/2-D34)</f>
        <v>0</v>
      </c>
      <c r="K34" t="str">
        <f>IF(入力!J34="","",入力!J34)</f>
        <v/>
      </c>
      <c r="L34" t="str">
        <f>入力!P34</f>
        <v/>
      </c>
      <c r="M34" s="87" t="str">
        <f>IF(入力!J34="","",$B$3+$B$15*(K34-$B$2))</f>
        <v/>
      </c>
      <c r="N34" t="str">
        <f>IF(入力!J34="","",IF(M34&lt;-入力!$H$19,-入力!$D$12,IF(M34&gt;入力!$H$19,入力!$D$12,入力!$D$17*M34)))</f>
        <v/>
      </c>
      <c r="O34" t="str">
        <f>IF(入力!J34="","",L34*N34)</f>
        <v/>
      </c>
      <c r="P34" t="str">
        <f>IF(入力!J34="","",O34*(入力!$D$3/2-K34))</f>
        <v/>
      </c>
    </row>
    <row r="35" spans="4:16" x14ac:dyDescent="0.15">
      <c r="D35">
        <f>入力!X35</f>
        <v>1360</v>
      </c>
      <c r="E35" s="63">
        <f>入力!AI35</f>
        <v>147987.27013196712</v>
      </c>
      <c r="F35" s="87">
        <f t="shared" si="2"/>
        <v>-7.2284235024151489E-3</v>
      </c>
      <c r="G35">
        <f>IF(F35&lt;=0,0,IF(F35&lt;=入力!$H$23,入力!$D$24*F35*(1-((F35/入力!$H$23)^(入力!$H$27-1))/入力!$H$27),IF(F35&lt;=入力!$H$26,入力!$H$24-入力!$H$25*(F35-入力!$H$23),0)))</f>
        <v>0</v>
      </c>
      <c r="H35">
        <f t="shared" si="1"/>
        <v>0</v>
      </c>
      <c r="I35">
        <f>H35*(入力!$D$3/2-D35)</f>
        <v>0</v>
      </c>
      <c r="K35" t="str">
        <f>IF(入力!J35="","",入力!J35)</f>
        <v/>
      </c>
      <c r="L35" t="str">
        <f>入力!P35</f>
        <v/>
      </c>
      <c r="M35" s="87" t="str">
        <f>IF(入力!J35="","",$B$3+$B$15*(K35-$B$2))</f>
        <v/>
      </c>
      <c r="N35" t="str">
        <f>IF(入力!J35="","",IF(M35&lt;-入力!$H$19,-入力!$D$12,IF(M35&gt;入力!$H$19,入力!$D$12,入力!$D$17*M35)))</f>
        <v/>
      </c>
      <c r="O35" t="str">
        <f>IF(入力!J35="","",L35*N35)</f>
        <v/>
      </c>
      <c r="P35" t="str">
        <f>IF(入力!J35="","",O35*(入力!$D$3/2-K35))</f>
        <v/>
      </c>
    </row>
    <row r="36" spans="4:16" x14ac:dyDescent="0.15">
      <c r="D36">
        <f>入力!X36</f>
        <v>1400</v>
      </c>
      <c r="E36" s="63">
        <f>入力!AI36</f>
        <v>146424.32986803289</v>
      </c>
      <c r="F36" s="87">
        <f t="shared" si="2"/>
        <v>-6.3009028946513085E-3</v>
      </c>
      <c r="G36">
        <f>IF(F36&lt;=0,0,IF(F36&lt;=入力!$H$23,入力!$D$24*F36*(1-((F36/入力!$H$23)^(入力!$H$27-1))/入力!$H$27),IF(F36&lt;=入力!$H$26,入力!$H$24-入力!$H$25*(F36-入力!$H$23),0)))</f>
        <v>0</v>
      </c>
      <c r="H36">
        <f t="shared" si="1"/>
        <v>0</v>
      </c>
      <c r="I36">
        <f>H36*(入力!$D$3/2-D36)</f>
        <v>0</v>
      </c>
      <c r="K36" t="str">
        <f>IF(入力!J36="","",入力!J36)</f>
        <v/>
      </c>
      <c r="L36" t="str">
        <f>入力!P36</f>
        <v/>
      </c>
      <c r="M36" s="87" t="str">
        <f>IF(入力!J36="","",$B$3+$B$15*(K36-$B$2))</f>
        <v/>
      </c>
      <c r="N36" t="str">
        <f>IF(入力!J36="","",IF(M36&lt;-入力!$H$19,-入力!$D$12,IF(M36&gt;入力!$H$19,入力!$D$12,入力!$D$17*M36)))</f>
        <v/>
      </c>
      <c r="O36" t="str">
        <f>IF(入力!J36="","",L36*N36)</f>
        <v/>
      </c>
      <c r="P36" t="str">
        <f>IF(入力!J36="","",O36*(入力!$D$3/2-K36))</f>
        <v/>
      </c>
    </row>
    <row r="37" spans="4:16" x14ac:dyDescent="0.15">
      <c r="D37">
        <f>入力!X37</f>
        <v>1440</v>
      </c>
      <c r="E37" s="63">
        <f>入力!AI37</f>
        <v>148000</v>
      </c>
      <c r="F37" s="87">
        <f t="shared" si="2"/>
        <v>-5.3733822868874681E-3</v>
      </c>
      <c r="G37">
        <f>IF(F37&lt;=0,0,IF(F37&lt;=入力!$H$23,入力!$D$24*F37*(1-((F37/入力!$H$23)^(入力!$H$27-1))/入力!$H$27),IF(F37&lt;=入力!$H$26,入力!$H$24-入力!$H$25*(F37-入力!$H$23),0)))</f>
        <v>0</v>
      </c>
      <c r="H37">
        <f t="shared" si="1"/>
        <v>0</v>
      </c>
      <c r="I37">
        <f>H37*(入力!$D$3/2-D37)</f>
        <v>0</v>
      </c>
      <c r="K37" t="str">
        <f>IF(入力!J37="","",入力!J37)</f>
        <v/>
      </c>
      <c r="L37" t="str">
        <f>入力!P37</f>
        <v/>
      </c>
      <c r="M37" s="87" t="str">
        <f>IF(入力!J37="","",$B$3+$B$15*(K37-$B$2))</f>
        <v/>
      </c>
      <c r="N37" t="str">
        <f>IF(入力!J37="","",IF(M37&lt;-入力!$H$19,-入力!$D$12,IF(M37&gt;入力!$H$19,入力!$D$12,入力!$D$17*M37)))</f>
        <v/>
      </c>
      <c r="O37" t="str">
        <f>IF(入力!J37="","",L37*N37)</f>
        <v/>
      </c>
      <c r="P37" t="str">
        <f>IF(入力!J37="","",O37*(入力!$D$3/2-K37))</f>
        <v/>
      </c>
    </row>
    <row r="38" spans="4:16" x14ac:dyDescent="0.15">
      <c r="D38">
        <f>入力!X38</f>
        <v>1480</v>
      </c>
      <c r="E38" s="63">
        <f>入力!AI38</f>
        <v>148000</v>
      </c>
      <c r="F38" s="87">
        <f t="shared" si="2"/>
        <v>-4.4458616791236312E-3</v>
      </c>
      <c r="G38">
        <f>IF(F38&lt;=0,0,IF(F38&lt;=入力!$H$23,入力!$D$24*F38*(1-((F38/入力!$H$23)^(入力!$H$27-1))/入力!$H$27),IF(F38&lt;=入力!$H$26,入力!$H$24-入力!$H$25*(F38-入力!$H$23),0)))</f>
        <v>0</v>
      </c>
      <c r="H38">
        <f t="shared" si="1"/>
        <v>0</v>
      </c>
      <c r="I38">
        <f>H38*(入力!$D$3/2-D38)</f>
        <v>0</v>
      </c>
      <c r="K38" t="str">
        <f>IF(入力!J38="","",入力!J38)</f>
        <v/>
      </c>
      <c r="L38" t="str">
        <f>入力!P38</f>
        <v/>
      </c>
      <c r="M38" s="87" t="str">
        <f>IF(入力!J38="","",$B$3+$B$15*(K38-$B$2))</f>
        <v/>
      </c>
      <c r="N38" t="str">
        <f>IF(入力!J38="","",IF(M38&lt;-入力!$H$19,-入力!$D$12,IF(M38&gt;入力!$H$19,入力!$D$12,入力!$D$17*M38)))</f>
        <v/>
      </c>
      <c r="O38" t="str">
        <f>IF(入力!J38="","",L38*N38)</f>
        <v/>
      </c>
      <c r="P38" t="str">
        <f>IF(入力!J38="","",O38*(入力!$D$3/2-K38))</f>
        <v/>
      </c>
    </row>
    <row r="39" spans="4:16" x14ac:dyDescent="0.15">
      <c r="D39">
        <f>入力!X39</f>
        <v>1520</v>
      </c>
      <c r="E39" s="63">
        <f>入力!AI39</f>
        <v>144823.20000000001</v>
      </c>
      <c r="F39" s="87">
        <f t="shared" si="2"/>
        <v>-3.5183410713597943E-3</v>
      </c>
      <c r="G39">
        <f>IF(F39&lt;=0,0,IF(F39&lt;=入力!$H$23,入力!$D$24*F39*(1-((F39/入力!$H$23)^(入力!$H$27-1))/入力!$H$27),IF(F39&lt;=入力!$H$26,入力!$H$24-入力!$H$25*(F39-入力!$H$23),0)))</f>
        <v>0</v>
      </c>
      <c r="H39">
        <f t="shared" si="1"/>
        <v>0</v>
      </c>
      <c r="I39">
        <f>H39*(入力!$D$3/2-D39)</f>
        <v>0</v>
      </c>
      <c r="K39" t="str">
        <f>IF(入力!J39="","",入力!J39)</f>
        <v/>
      </c>
      <c r="L39" t="str">
        <f>入力!P39</f>
        <v/>
      </c>
      <c r="M39" s="87" t="str">
        <f>IF(入力!J39="","",$B$3+$B$15*(K39-$B$2))</f>
        <v/>
      </c>
      <c r="N39" t="str">
        <f>IF(入力!J39="","",IF(M39&lt;-入力!$H$19,-入力!$D$12,IF(M39&gt;入力!$H$19,入力!$D$12,入力!$D$17*M39)))</f>
        <v/>
      </c>
      <c r="O39" t="str">
        <f>IF(入力!J39="","",L39*N39)</f>
        <v/>
      </c>
      <c r="P39" t="str">
        <f>IF(入力!J39="","",O39*(入力!$D$3/2-K39))</f>
        <v/>
      </c>
    </row>
    <row r="40" spans="4:16" x14ac:dyDescent="0.15">
      <c r="D40">
        <f>入力!X40</f>
        <v>1560</v>
      </c>
      <c r="E40" s="63">
        <f>入力!AI40</f>
        <v>148000</v>
      </c>
      <c r="F40" s="87">
        <f t="shared" si="2"/>
        <v>-2.5908204635959539E-3</v>
      </c>
      <c r="G40">
        <f>IF(F40&lt;=0,0,IF(F40&lt;=入力!$H$23,入力!$D$24*F40*(1-((F40/入力!$H$23)^(入力!$H$27-1))/入力!$H$27),IF(F40&lt;=入力!$H$26,入力!$H$24-入力!$H$25*(F40-入力!$H$23),0)))</f>
        <v>0</v>
      </c>
      <c r="H40">
        <f t="shared" si="1"/>
        <v>0</v>
      </c>
      <c r="I40">
        <f>H40*(入力!$D$3/2-D40)</f>
        <v>0</v>
      </c>
      <c r="K40" t="str">
        <f>IF(入力!J40="","",入力!J40)</f>
        <v/>
      </c>
      <c r="L40" t="str">
        <f>入力!P40</f>
        <v/>
      </c>
      <c r="M40" s="87" t="str">
        <f>IF(入力!J40="","",$B$3+$B$15*(K40-$B$2))</f>
        <v/>
      </c>
      <c r="N40" t="str">
        <f>IF(入力!J40="","",IF(M40&lt;-入力!$H$19,-入力!$D$12,IF(M40&gt;入力!$H$19,入力!$D$12,入力!$D$17*M40)))</f>
        <v/>
      </c>
      <c r="O40" t="str">
        <f>IF(入力!J40="","",L40*N40)</f>
        <v/>
      </c>
      <c r="P40" t="str">
        <f>IF(入力!J40="","",O40*(入力!$D$3/2-K40))</f>
        <v/>
      </c>
    </row>
    <row r="41" spans="4:16" x14ac:dyDescent="0.15">
      <c r="D41">
        <f>入力!X41</f>
        <v>1600</v>
      </c>
      <c r="E41" s="63">
        <f>入力!AI41</f>
        <v>148000</v>
      </c>
      <c r="F41" s="87">
        <f t="shared" si="2"/>
        <v>-1.6632998558321135E-3</v>
      </c>
      <c r="G41">
        <f>IF(F41&lt;=0,0,IF(F41&lt;=入力!$H$23,入力!$D$24*F41*(1-((F41/入力!$H$23)^(入力!$H$27-1))/入力!$H$27),IF(F41&lt;=入力!$H$26,入力!$H$24-入力!$H$25*(F41-入力!$H$23),0)))</f>
        <v>0</v>
      </c>
      <c r="H41">
        <f t="shared" si="1"/>
        <v>0</v>
      </c>
      <c r="I41">
        <f>H41*(入力!$D$3/2-D41)</f>
        <v>0</v>
      </c>
      <c r="K41" t="str">
        <f>IF(入力!J41="","",入力!J41)</f>
        <v/>
      </c>
      <c r="L41" t="str">
        <f>入力!P41</f>
        <v/>
      </c>
      <c r="M41" s="87" t="str">
        <f>IF(入力!J41="","",$B$3+$B$15*(K41-$B$2))</f>
        <v/>
      </c>
      <c r="N41" t="str">
        <f>IF(入力!J41="","",IF(M41&lt;-入力!$H$19,-入力!$D$12,IF(M41&gt;入力!$H$19,入力!$D$12,入力!$D$17*M41)))</f>
        <v/>
      </c>
      <c r="O41" t="str">
        <f>IF(入力!J41="","",L41*N41)</f>
        <v/>
      </c>
      <c r="P41" t="str">
        <f>IF(入力!J41="","",O41*(入力!$D$3/2-K41))</f>
        <v/>
      </c>
    </row>
    <row r="42" spans="4:16" x14ac:dyDescent="0.15">
      <c r="D42">
        <f>入力!X42</f>
        <v>1640</v>
      </c>
      <c r="E42" s="63">
        <f>入力!AI42</f>
        <v>146424.27779052482</v>
      </c>
      <c r="F42" s="87">
        <f t="shared" si="2"/>
        <v>-7.3577924806827316E-4</v>
      </c>
      <c r="G42">
        <f>IF(F42&lt;=0,0,IF(F42&lt;=入力!$H$23,入力!$D$24*F42*(1-((F42/入力!$H$23)^(入力!$H$27-1))/入力!$H$27),IF(F42&lt;=入力!$H$26,入力!$H$24-入力!$H$25*(F42-入力!$H$23),0)))</f>
        <v>0</v>
      </c>
      <c r="H42">
        <f t="shared" si="1"/>
        <v>0</v>
      </c>
      <c r="I42">
        <f>H42*(入力!$D$3/2-D42)</f>
        <v>0</v>
      </c>
      <c r="K42" t="str">
        <f>IF(入力!J42="","",入力!J42)</f>
        <v/>
      </c>
      <c r="L42" t="str">
        <f>入力!P42</f>
        <v/>
      </c>
      <c r="M42" s="87" t="str">
        <f>IF(入力!J42="","",$B$3+$B$15*(K42-$B$2))</f>
        <v/>
      </c>
      <c r="N42" t="str">
        <f>IF(入力!J42="","",IF(M42&lt;-入力!$H$19,-入力!$D$12,IF(M42&gt;入力!$H$19,入力!$D$12,入力!$D$17*M42)))</f>
        <v/>
      </c>
      <c r="O42" t="str">
        <f>IF(入力!J42="","",L42*N42)</f>
        <v/>
      </c>
      <c r="P42" t="str">
        <f>IF(入力!J42="","",O42*(入力!$D$3/2-K42))</f>
        <v/>
      </c>
    </row>
    <row r="43" spans="4:16" x14ac:dyDescent="0.15">
      <c r="D43">
        <f>入力!X43</f>
        <v>1680</v>
      </c>
      <c r="E43" s="63">
        <f>入力!AI43</f>
        <v>147987.32220947518</v>
      </c>
      <c r="F43" s="87">
        <f t="shared" si="2"/>
        <v>1.9174135969556722E-4</v>
      </c>
      <c r="G43">
        <f>IF(F43&lt;=0,0,IF(F43&lt;=入力!$H$23,入力!$D$24*F43*(1-((F43/入力!$H$23)^(入力!$H$27-1))/入力!$H$27),IF(F43&lt;=入力!$H$26,入力!$H$24-入力!$H$25*(F43-入力!$H$23),0)))</f>
        <v>4.5976657623908928</v>
      </c>
      <c r="H43">
        <f t="shared" si="1"/>
        <v>680396.24459041341</v>
      </c>
      <c r="I43">
        <f>H43*(入力!$D$3/2-D43)</f>
        <v>-462669446.32148111</v>
      </c>
      <c r="K43" t="str">
        <f>IF(入力!J43="","",入力!J43)</f>
        <v/>
      </c>
      <c r="L43" t="str">
        <f>入力!P43</f>
        <v/>
      </c>
      <c r="M43" s="87" t="str">
        <f>IF(入力!J43="","",$B$3+$B$15*(K43-$B$2))</f>
        <v/>
      </c>
      <c r="N43" t="str">
        <f>IF(入力!J43="","",IF(M43&lt;-入力!$H$19,-入力!$D$12,IF(M43&gt;入力!$H$19,入力!$D$12,入力!$D$17*M43)))</f>
        <v/>
      </c>
      <c r="O43" t="str">
        <f>IF(入力!J43="","",L43*N43)</f>
        <v/>
      </c>
      <c r="P43" t="str">
        <f>IF(入力!J43="","",O43*(入力!$D$3/2-K43))</f>
        <v/>
      </c>
    </row>
    <row r="44" spans="4:16" x14ac:dyDescent="0.15">
      <c r="D44">
        <f>入力!X44</f>
        <v>1720</v>
      </c>
      <c r="E44" s="63">
        <f>入力!AI44</f>
        <v>148000</v>
      </c>
      <c r="F44" s="87">
        <f t="shared" si="2"/>
        <v>1.1192619674594007E-3</v>
      </c>
      <c r="G44">
        <f>IF(F44&lt;=0,0,IF(F44&lt;=入力!$H$23,入力!$D$24*F44*(1-((F44/入力!$H$23)^(入力!$H$27-1))/入力!$H$27),IF(F44&lt;=入力!$H$26,入力!$H$24-入力!$H$25*(F44-入力!$H$23),0)))</f>
        <v>19.855447057274599</v>
      </c>
      <c r="H44">
        <f t="shared" si="1"/>
        <v>2938606.1644766405</v>
      </c>
      <c r="I44">
        <f>H44*(入力!$D$3/2-D44)</f>
        <v>-2115796438.4231811</v>
      </c>
      <c r="K44" t="str">
        <f>IF(入力!J44="","",入力!J44)</f>
        <v/>
      </c>
      <c r="L44" t="str">
        <f>入力!P44</f>
        <v/>
      </c>
      <c r="M44" s="87" t="str">
        <f>IF(入力!J44="","",$B$3+$B$15*(K44-$B$2))</f>
        <v/>
      </c>
      <c r="N44" t="str">
        <f>IF(入力!J44="","",IF(M44&lt;-入力!$H$19,-入力!$D$12,IF(M44&gt;入力!$H$19,入力!$D$12,入力!$D$17*M44)))</f>
        <v/>
      </c>
      <c r="O44" t="str">
        <f>IF(入力!J44="","",L44*N44)</f>
        <v/>
      </c>
      <c r="P44" t="str">
        <f>IF(入力!J44="","",O44*(入力!$D$3/2-K44))</f>
        <v/>
      </c>
    </row>
    <row r="45" spans="4:16" x14ac:dyDescent="0.15">
      <c r="D45">
        <f>入力!X45</f>
        <v>1740</v>
      </c>
      <c r="E45" s="63">
        <f>入力!AI45</f>
        <v>136224.35559522378</v>
      </c>
      <c r="F45" s="87">
        <f t="shared" si="2"/>
        <v>1.5830222713413208E-3</v>
      </c>
      <c r="G45">
        <f>IF(F45&lt;=0,0,IF(F45&lt;=入力!$H$23,入力!$D$24*F45*(1-((F45/入力!$H$23)^(入力!$H$27-1))/入力!$H$27),IF(F45&lt;=入力!$H$26,入力!$H$24-入力!$H$25*(F45-入力!$H$23),0)))</f>
        <v>24.800542455681178</v>
      </c>
      <c r="H45">
        <f t="shared" si="1"/>
        <v>3378437.9144371571</v>
      </c>
      <c r="I45">
        <f>H45*(入力!$D$3/2-D45)</f>
        <v>-2500044056.6834965</v>
      </c>
      <c r="K45" t="str">
        <f>IF(入力!J45="","",入力!J45)</f>
        <v/>
      </c>
      <c r="L45" t="str">
        <f>入力!P45</f>
        <v/>
      </c>
      <c r="M45" s="87" t="str">
        <f>IF(入力!J45="","",$B$3+$B$15*(K45-$B$2))</f>
        <v/>
      </c>
      <c r="N45" t="str">
        <f>IF(入力!J45="","",IF(M45&lt;-入力!$H$19,-入力!$D$12,IF(M45&gt;入力!$H$19,入力!$D$12,入力!$D$17*M45)))</f>
        <v/>
      </c>
      <c r="O45" t="str">
        <f>IF(入力!J45="","",L45*N45)</f>
        <v/>
      </c>
      <c r="P45" t="str">
        <f>IF(入力!J45="","",O45*(入力!$D$3/2-K45))</f>
        <v/>
      </c>
    </row>
    <row r="46" spans="4:16" x14ac:dyDescent="0.15">
      <c r="D46">
        <f>入力!X46</f>
        <v>1780</v>
      </c>
      <c r="E46" s="63">
        <f>入力!AI46</f>
        <v>146274.24440477623</v>
      </c>
      <c r="F46" s="87">
        <f t="shared" si="2"/>
        <v>2.5105428791051612E-3</v>
      </c>
      <c r="G46">
        <f>IF(F46&lt;=0,0,IF(F46&lt;=入力!$H$23,入力!$D$24*F46*(1-((F46/入力!$H$23)^(入力!$H$27-1))/入力!$H$27),IF(F46&lt;=入力!$H$26,入力!$H$24-入力!$H$25*(F46-入力!$H$23),0)))</f>
        <v>30.74254465189296</v>
      </c>
      <c r="H46">
        <f t="shared" si="1"/>
        <v>4496842.4900357369</v>
      </c>
      <c r="I46">
        <f>H46*(入力!$D$3/2-D46)</f>
        <v>-3507537142.2278748</v>
      </c>
      <c r="K46" t="str">
        <f>IF(入力!J46="","",入力!J46)</f>
        <v/>
      </c>
      <c r="L46" t="str">
        <f>入力!P46</f>
        <v/>
      </c>
      <c r="M46" s="87" t="str">
        <f>IF(入力!J46="","",$B$3+$B$15*(K46-$B$2))</f>
        <v/>
      </c>
      <c r="N46" t="str">
        <f>IF(入力!J46="","",IF(M46&lt;-入力!$H$19,-入力!$D$12,IF(M46&gt;入力!$H$19,入力!$D$12,入力!$D$17*M46)))</f>
        <v/>
      </c>
      <c r="O46" t="str">
        <f>IF(入力!J46="","",L46*N46)</f>
        <v/>
      </c>
      <c r="P46" t="str">
        <f>IF(入力!J46="","",O46*(入力!$D$3/2-K46))</f>
        <v/>
      </c>
    </row>
    <row r="47" spans="4:16" x14ac:dyDescent="0.15">
      <c r="D47">
        <f>入力!X47</f>
        <v>1820</v>
      </c>
      <c r="E47" s="63">
        <f>入力!AI47</f>
        <v>144852.22671321675</v>
      </c>
      <c r="F47" s="87">
        <f t="shared" si="2"/>
        <v>3.4380634868690016E-3</v>
      </c>
      <c r="G47">
        <f>IF(F47&lt;=0,0,IF(F47&lt;=入力!$H$23,入力!$D$24*F47*(1-((F47/入力!$H$23)^(入力!$H$27-1))/入力!$H$27),IF(F47&lt;=入力!$H$26,入力!$H$24-入力!$H$25*(F47-入力!$H$23),0)))</f>
        <v>31.912485589189938</v>
      </c>
      <c r="H47">
        <f t="shared" si="1"/>
        <v>4622594.5975476028</v>
      </c>
      <c r="I47">
        <f>H47*(入力!$D$3/2-D47)</f>
        <v>-3790527569.9890342</v>
      </c>
      <c r="K47" t="str">
        <f>IF(入力!J47="","",入力!J47)</f>
        <v/>
      </c>
      <c r="L47" t="str">
        <f>入力!P47</f>
        <v/>
      </c>
      <c r="M47" s="87" t="str">
        <f>IF(入力!J47="","",$B$3+$B$15*(K47-$B$2))</f>
        <v/>
      </c>
      <c r="N47" t="str">
        <f>IF(入力!J47="","",IF(M47&lt;-入力!$H$19,-入力!$D$12,IF(M47&gt;入力!$H$19,入力!$D$12,入力!$D$17*M47)))</f>
        <v/>
      </c>
      <c r="O47" t="str">
        <f>IF(入力!J47="","",L47*N47)</f>
        <v/>
      </c>
      <c r="P47" t="str">
        <f>IF(入力!J47="","",O47*(入力!$D$3/2-K47))</f>
        <v/>
      </c>
    </row>
    <row r="48" spans="4:16" x14ac:dyDescent="0.15">
      <c r="D48">
        <f>入力!X48</f>
        <v>1860</v>
      </c>
      <c r="E48" s="63">
        <f>入力!AI48</f>
        <v>15527.573286783241</v>
      </c>
      <c r="F48" s="87">
        <f t="shared" si="2"/>
        <v>4.365584094632842E-3</v>
      </c>
      <c r="G48">
        <f>IF(F48&lt;=0,0,IF(F48&lt;=入力!$H$23,入力!$D$24*F48*(1-((F48/入力!$H$23)^(入力!$H$27-1))/入力!$H$27),IF(F48&lt;=入力!$H$26,入力!$H$24-入力!$H$25*(F48-入力!$H$23),0)))</f>
        <v>28.808785854582958</v>
      </c>
      <c r="H48">
        <f t="shared" si="1"/>
        <v>447330.53366028122</v>
      </c>
      <c r="I48">
        <f>H48*(入力!$D$3/2-D48)</f>
        <v>-384704258.94784182</v>
      </c>
      <c r="K48" t="str">
        <f>IF(入力!J48="","",入力!J48)</f>
        <v/>
      </c>
      <c r="L48" t="str">
        <f>入力!P48</f>
        <v/>
      </c>
      <c r="M48" s="87" t="str">
        <f>IF(入力!J48="","",$B$3+$B$15*(K48-$B$2))</f>
        <v/>
      </c>
      <c r="N48" t="str">
        <f>IF(入力!J48="","",IF(M48&lt;-入力!$H$19,-入力!$D$12,IF(M48&gt;入力!$H$19,入力!$D$12,入力!$D$17*M48)))</f>
        <v/>
      </c>
      <c r="O48" t="str">
        <f>IF(入力!J48="","",L48*N48)</f>
        <v/>
      </c>
      <c r="P48" t="str">
        <f>IF(入力!J48="","",O48*(入力!$D$3/2-K48))</f>
        <v/>
      </c>
    </row>
    <row r="49" spans="4:16" x14ac:dyDescent="0.15">
      <c r="D49">
        <f>入力!X49</f>
        <v>1900</v>
      </c>
      <c r="E49" s="63">
        <f>入力!AI49</f>
        <v>0</v>
      </c>
      <c r="F49" s="87">
        <f t="shared" si="2"/>
        <v>5.2931047023966754E-3</v>
      </c>
      <c r="G49">
        <f>IF(F49&lt;=0,0,IF(F49&lt;=入力!$H$23,入力!$D$24*F49*(1-((F49/入力!$H$23)^(入力!$H$27-1))/入力!$H$27),IF(F49&lt;=入力!$H$26,入力!$H$24-入力!$H$25*(F49-入力!$H$23),0)))</f>
        <v>25.705086119976006</v>
      </c>
      <c r="H49">
        <f t="shared" si="1"/>
        <v>0</v>
      </c>
      <c r="I49">
        <f>H49*(入力!$D$3/2-D49)</f>
        <v>0</v>
      </c>
      <c r="K49" t="str">
        <f>IF(入力!J49="","",入力!J49)</f>
        <v/>
      </c>
      <c r="L49" t="str">
        <f>入力!P49</f>
        <v/>
      </c>
      <c r="M49" s="87" t="str">
        <f>IF(入力!J49="","",$B$3+$B$15*(K49-$B$2))</f>
        <v/>
      </c>
      <c r="N49" t="str">
        <f>IF(入力!J49="","",IF(M49&lt;-入力!$H$19,-入力!$D$12,IF(M49&gt;入力!$H$19,入力!$D$12,入力!$D$17*M49)))</f>
        <v/>
      </c>
      <c r="O49" t="str">
        <f>IF(入力!J49="","",L49*N49)</f>
        <v/>
      </c>
      <c r="P49" t="str">
        <f>IF(入力!J49="","",O49*(入力!$D$3/2-K49))</f>
        <v/>
      </c>
    </row>
    <row r="50" spans="4:16" x14ac:dyDescent="0.15">
      <c r="D50">
        <f>入力!X50</f>
        <v>1940</v>
      </c>
      <c r="E50" s="63">
        <f>入力!AI50</f>
        <v>0</v>
      </c>
      <c r="F50" s="87">
        <f t="shared" si="2"/>
        <v>6.2206253101605158E-3</v>
      </c>
      <c r="G50">
        <f>IF(F50&lt;=0,0,IF(F50&lt;=入力!$H$23,入力!$D$24*F50*(1-((F50/入力!$H$23)^(入力!$H$27-1))/入力!$H$27),IF(F50&lt;=入力!$H$26,入力!$H$24-入力!$H$25*(F50-入力!$H$23),0)))</f>
        <v>22.601386385369025</v>
      </c>
      <c r="H50">
        <f t="shared" si="1"/>
        <v>0</v>
      </c>
      <c r="I50">
        <f>H50*(入力!$D$3/2-D50)</f>
        <v>0</v>
      </c>
      <c r="K50" t="str">
        <f>IF(入力!J50="","",入力!J50)</f>
        <v/>
      </c>
      <c r="L50" t="str">
        <f>入力!P50</f>
        <v/>
      </c>
      <c r="M50" s="87" t="str">
        <f>IF(入力!J50="","",$B$3+$B$15*(K50-$B$2))</f>
        <v/>
      </c>
      <c r="N50" t="str">
        <f>IF(入力!J50="","",IF(M50&lt;-入力!$H$19,-入力!$D$12,IF(M50&gt;入力!$H$19,入力!$D$12,入力!$D$17*M50)))</f>
        <v/>
      </c>
      <c r="O50" t="str">
        <f>IF(入力!J50="","",L50*N50)</f>
        <v/>
      </c>
      <c r="P50" t="str">
        <f>IF(入力!J50="","",O50*(入力!$D$3/2-K50))</f>
        <v/>
      </c>
    </row>
    <row r="51" spans="4:16" x14ac:dyDescent="0.15">
      <c r="D51">
        <f>入力!X51</f>
        <v>1980</v>
      </c>
      <c r="E51" s="63">
        <f>入力!AI51</f>
        <v>0</v>
      </c>
      <c r="F51" s="87">
        <f t="shared" si="2"/>
        <v>7.1481459179243562E-3</v>
      </c>
      <c r="G51">
        <f>IF(F51&lt;=0,0,IF(F51&lt;=入力!$H$23,入力!$D$24*F51*(1-((F51/入力!$H$23)^(入力!$H$27-1))/入力!$H$27),IF(F51&lt;=入力!$H$26,入力!$H$24-入力!$H$25*(F51-入力!$H$23),0)))</f>
        <v>19.497686650762049</v>
      </c>
      <c r="H51">
        <f t="shared" si="1"/>
        <v>0</v>
      </c>
      <c r="I51">
        <f>H51*(入力!$D$3/2-D51)</f>
        <v>0</v>
      </c>
      <c r="K51" t="str">
        <f>IF(入力!J51="","",入力!J51)</f>
        <v/>
      </c>
      <c r="L51" t="str">
        <f>入力!P51</f>
        <v/>
      </c>
      <c r="M51" s="87" t="str">
        <f>IF(入力!J51="","",$B$3+$B$15*(K51-$B$2))</f>
        <v/>
      </c>
      <c r="N51" t="str">
        <f>IF(入力!J51="","",IF(M51&lt;-入力!$H$19,-入力!$D$12,IF(M51&gt;入力!$H$19,入力!$D$12,入力!$D$17*M51)))</f>
        <v/>
      </c>
      <c r="O51" t="str">
        <f>IF(入力!J51="","",L51*N51)</f>
        <v/>
      </c>
      <c r="P51" t="str">
        <f>IF(入力!J51="","",O51*(入力!$D$3/2-K51))</f>
        <v/>
      </c>
    </row>
  </sheetData>
  <phoneticPr fontId="3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B1" sqref="B1"/>
    </sheetView>
  </sheetViews>
  <sheetFormatPr defaultColWidth="8.875" defaultRowHeight="13.5" x14ac:dyDescent="0.15"/>
  <cols>
    <col min="1" max="1" width="16" style="7" customWidth="1"/>
    <col min="2" max="2" width="17.125" bestFit="1" customWidth="1"/>
    <col min="6" max="6" width="11" bestFit="1" customWidth="1"/>
    <col min="10" max="10" width="3.375" customWidth="1"/>
    <col min="13" max="13" width="11" bestFit="1" customWidth="1"/>
    <col min="15" max="15" width="9.5" bestFit="1" customWidth="1"/>
    <col min="16" max="16" width="11.25" customWidth="1"/>
  </cols>
  <sheetData>
    <row r="1" spans="1:16" ht="60.75" customHeight="1" x14ac:dyDescent="0.15">
      <c r="A1" s="34" t="s">
        <v>116</v>
      </c>
      <c r="B1" s="33" t="s">
        <v>260</v>
      </c>
      <c r="D1" s="17" t="s">
        <v>83</v>
      </c>
      <c r="E1" s="17" t="s">
        <v>85</v>
      </c>
      <c r="F1" s="17" t="s">
        <v>86</v>
      </c>
      <c r="G1" s="17" t="s">
        <v>87</v>
      </c>
      <c r="H1" s="17" t="s">
        <v>88</v>
      </c>
      <c r="I1" s="17" t="s">
        <v>254</v>
      </c>
      <c r="K1" s="17" t="s">
        <v>249</v>
      </c>
      <c r="L1" s="17" t="s">
        <v>250</v>
      </c>
      <c r="M1" s="17" t="s">
        <v>86</v>
      </c>
      <c r="N1" s="17" t="s">
        <v>251</v>
      </c>
      <c r="O1" s="17" t="s">
        <v>252</v>
      </c>
      <c r="P1" s="17" t="s">
        <v>253</v>
      </c>
    </row>
    <row r="2" spans="1:16" x14ac:dyDescent="0.15">
      <c r="A2" s="35" t="s">
        <v>72</v>
      </c>
      <c r="B2" s="35">
        <f>入力!D18</f>
        <v>150</v>
      </c>
      <c r="C2" s="35" t="s">
        <v>13</v>
      </c>
      <c r="D2">
        <f>入力!X2</f>
        <v>20</v>
      </c>
      <c r="E2" s="63">
        <f>入力!AI2</f>
        <v>148000</v>
      </c>
      <c r="F2" s="22">
        <f t="shared" ref="F2:F33" si="0">$B$3+$B$15*(D2-$B$2)</f>
        <v>-5.3606069836583073E-2</v>
      </c>
      <c r="G2">
        <f>IF(F2&lt;=0,0,IF(F2&lt;=入力!$H$23,入力!$D$24*F2*(1-((F2/入力!$H$23)^(入力!$H$27-1))/入力!$H$27),IF(F2&lt;=入力!$H$26,入力!$H$24-入力!$H$25*(F2-入力!$H$23),0)))</f>
        <v>0</v>
      </c>
      <c r="H2">
        <f t="shared" ref="H2:H33" si="1">E2*G2</f>
        <v>0</v>
      </c>
      <c r="I2">
        <f>H2*(入力!$D$3/2-D2)</f>
        <v>0</v>
      </c>
      <c r="K2">
        <f>IF(入力!J2="","",入力!J2)</f>
        <v>150</v>
      </c>
      <c r="L2">
        <f>入力!P2</f>
        <v>24620.2</v>
      </c>
      <c r="M2" s="22">
        <f>IF(入力!J2="","",$B$3+$B$15*(K2-$B$2))</f>
        <v>-4.9400290642179788E-2</v>
      </c>
      <c r="N2">
        <f>IF(入力!J2="","",IF(M2&lt;-入力!$H$19,-入力!$D$12,IF(M2&gt;入力!$H$19,入力!$D$12,入力!$D$17*M2)))</f>
        <v>-345</v>
      </c>
      <c r="O2">
        <f>IF(入力!J2="","",L2*N2)</f>
        <v>-8493969</v>
      </c>
      <c r="P2">
        <f>IF(入力!J2="","",O2*(入力!$D$3/2-K2))</f>
        <v>-7219873650</v>
      </c>
    </row>
    <row r="3" spans="1:16" x14ac:dyDescent="0.15">
      <c r="A3" s="26" t="s">
        <v>112</v>
      </c>
      <c r="B3" s="27">
        <f>-入力!H18</f>
        <v>-4.9400290642179788E-2</v>
      </c>
      <c r="C3" s="28"/>
      <c r="D3">
        <f>入力!X3</f>
        <v>60</v>
      </c>
      <c r="E3" s="63">
        <f>入力!AI3</f>
        <v>148000</v>
      </c>
      <c r="F3" s="22">
        <f t="shared" si="0"/>
        <v>-5.2311983930612829E-2</v>
      </c>
      <c r="G3">
        <f>IF(F3&lt;=0,0,IF(F3&lt;=入力!$H$23,入力!$D$24*F3*(1-((F3/入力!$H$23)^(入力!$H$27-1))/入力!$H$27),IF(F3&lt;=入力!$H$26,入力!$H$24-入力!$H$25*(F3-入力!$H$23),0)))</f>
        <v>0</v>
      </c>
      <c r="H3">
        <f t="shared" si="1"/>
        <v>0</v>
      </c>
      <c r="I3">
        <f>H3*(入力!$D$3/2-D3)</f>
        <v>0</v>
      </c>
      <c r="K3">
        <f>IF(入力!J3="","",入力!J3)</f>
        <v>250</v>
      </c>
      <c r="L3">
        <f>入力!P3</f>
        <v>13501.400000000001</v>
      </c>
      <c r="M3" s="22">
        <f>IF(入力!J3="","",$B$3+$B$15*(K3-$B$2))</f>
        <v>-4.6165075877254186E-2</v>
      </c>
      <c r="N3">
        <f>IF(入力!J3="","",IF(M3&lt;-入力!$H$19,-入力!$D$12,IF(M3&gt;入力!$H$19,入力!$D$12,入力!$D$17*M3)))</f>
        <v>-345</v>
      </c>
      <c r="O3">
        <f>IF(入力!J3="","",L3*N3)</f>
        <v>-4657983.0000000009</v>
      </c>
      <c r="P3">
        <f>IF(入力!J3="","",O3*(入力!$D$3/2-K3))</f>
        <v>-3493487250.0000005</v>
      </c>
    </row>
    <row r="4" spans="1:16" x14ac:dyDescent="0.15">
      <c r="A4" s="26" t="s">
        <v>125</v>
      </c>
      <c r="B4" s="28">
        <f>(SUM(H2:H51)+SUM(O2:O51))/1000</f>
        <v>8000.0000488425494</v>
      </c>
      <c r="C4" s="28" t="s">
        <v>75</v>
      </c>
      <c r="D4">
        <f>入力!X4</f>
        <v>100</v>
      </c>
      <c r="E4" s="63">
        <f>入力!AI4</f>
        <v>148000</v>
      </c>
      <c r="F4" s="22">
        <f t="shared" si="0"/>
        <v>-5.1017898024642593E-2</v>
      </c>
      <c r="G4">
        <f>IF(F4&lt;=0,0,IF(F4&lt;=入力!$H$23,入力!$D$24*F4*(1-((F4/入力!$H$23)^(入力!$H$27-1))/入力!$H$27),IF(F4&lt;=入力!$H$26,入力!$H$24-入力!$H$25*(F4-入力!$H$23),0)))</f>
        <v>0</v>
      </c>
      <c r="H4">
        <f t="shared" si="1"/>
        <v>0</v>
      </c>
      <c r="I4">
        <f>H4*(入力!$D$3/2-D4)</f>
        <v>0</v>
      </c>
      <c r="K4">
        <f>IF(入力!J4="","",入力!J4)</f>
        <v>375</v>
      </c>
      <c r="L4">
        <f>入力!P4</f>
        <v>1588.4</v>
      </c>
      <c r="M4" s="22">
        <f>IF(入力!J4="","",$B$3+$B$15*(K4-$B$2))</f>
        <v>-4.2121057421097174E-2</v>
      </c>
      <c r="N4">
        <f>IF(入力!J4="","",IF(M4&lt;-入力!$H$19,-入力!$D$12,IF(M4&gt;入力!$H$19,入力!$D$12,入力!$D$17*M4)))</f>
        <v>-345</v>
      </c>
      <c r="O4">
        <f>IF(入力!J4="","",L4*N4)</f>
        <v>-547998</v>
      </c>
      <c r="P4">
        <f>IF(入力!J4="","",O4*(入力!$D$3/2-K4))</f>
        <v>-342498750</v>
      </c>
    </row>
    <row r="5" spans="1:16" x14ac:dyDescent="0.15">
      <c r="A5" s="28" t="s">
        <v>73</v>
      </c>
      <c r="B5" s="28">
        <f>入力!H7</f>
        <v>8000</v>
      </c>
      <c r="C5" s="28" t="s">
        <v>75</v>
      </c>
      <c r="D5">
        <f>入力!X5</f>
        <v>140</v>
      </c>
      <c r="E5" s="63">
        <f>入力!AI5</f>
        <v>126526.76608540813</v>
      </c>
      <c r="F5" s="22">
        <f t="shared" si="0"/>
        <v>-4.9723812118672349E-2</v>
      </c>
      <c r="G5">
        <f>IF(F5&lt;=0,0,IF(F5&lt;=入力!$H$23,入力!$D$24*F5*(1-((F5/入力!$H$23)^(入力!$H$27-1))/入力!$H$27),IF(F5&lt;=入力!$H$26,入力!$H$24-入力!$H$25*(F5-入力!$H$23),0)))</f>
        <v>0</v>
      </c>
      <c r="H5">
        <f t="shared" si="1"/>
        <v>0</v>
      </c>
      <c r="I5">
        <f>H5*(入力!$D$3/2-D5)</f>
        <v>0</v>
      </c>
      <c r="K5">
        <f>IF(入力!J5="","",入力!J5)</f>
        <v>500</v>
      </c>
      <c r="L5">
        <f>入力!P5</f>
        <v>3176.8</v>
      </c>
      <c r="M5" s="22">
        <f>IF(入力!J5="","",$B$3+$B$15*(K5-$B$2))</f>
        <v>-3.807703896494017E-2</v>
      </c>
      <c r="N5">
        <f>IF(入力!J5="","",IF(M5&lt;-入力!$H$19,-入力!$D$12,IF(M5&gt;入力!$H$19,入力!$D$12,入力!$D$17*M5)))</f>
        <v>-345</v>
      </c>
      <c r="O5">
        <f>IF(入力!J5="","",L5*N5)</f>
        <v>-1095996</v>
      </c>
      <c r="P5">
        <f>IF(入力!J5="","",O5*(入力!$D$3/2-K5))</f>
        <v>-547998000</v>
      </c>
    </row>
    <row r="6" spans="1:16" ht="14.25" thickBot="1" x14ac:dyDescent="0.2">
      <c r="D6">
        <f>入力!X6</f>
        <v>180</v>
      </c>
      <c r="E6" s="63">
        <f>入力!AI6</f>
        <v>144853.03391459188</v>
      </c>
      <c r="F6" s="22">
        <f t="shared" si="0"/>
        <v>-4.8429726212702105E-2</v>
      </c>
      <c r="G6">
        <f>IF(F6&lt;=0,0,IF(F6&lt;=入力!$H$23,入力!$D$24*F6*(1-((F6/入力!$H$23)^(入力!$H$27-1))/入力!$H$27),IF(F6&lt;=入力!$H$26,入力!$H$24-入力!$H$25*(F6-入力!$H$23),0)))</f>
        <v>0</v>
      </c>
      <c r="H6">
        <f t="shared" si="1"/>
        <v>0</v>
      </c>
      <c r="I6">
        <f>H6*(入力!$D$3/2-D6)</f>
        <v>0</v>
      </c>
      <c r="K6">
        <f>IF(入力!J6="","",入力!J6)</f>
        <v>625</v>
      </c>
      <c r="L6">
        <f>入力!P6</f>
        <v>1588.4</v>
      </c>
      <c r="M6" s="22">
        <f>IF(入力!J6="","",$B$3+$B$15*(K6-$B$2))</f>
        <v>-3.4033020508783166E-2</v>
      </c>
      <c r="N6">
        <f>IF(入力!J6="","",IF(M6&lt;-入力!$H$19,-入力!$D$12,IF(M6&gt;入力!$H$19,入力!$D$12,入力!$D$17*M6)))</f>
        <v>-345</v>
      </c>
      <c r="O6">
        <f>IF(入力!J6="","",L6*N6)</f>
        <v>-547998</v>
      </c>
      <c r="P6">
        <f>IF(入力!J6="","",O6*(入力!$D$3/2-K6))</f>
        <v>-205499250</v>
      </c>
    </row>
    <row r="7" spans="1:16" ht="14.25" thickBot="1" x14ac:dyDescent="0.2">
      <c r="A7" s="7" t="s">
        <v>82</v>
      </c>
      <c r="B7" s="16">
        <f>B4-B5</f>
        <v>4.8842549404071178E-5</v>
      </c>
      <c r="D7">
        <f>入力!X7</f>
        <v>220</v>
      </c>
      <c r="E7" s="63">
        <f>入力!AI7</f>
        <v>146273.80174595758</v>
      </c>
      <c r="F7" s="22">
        <f t="shared" si="0"/>
        <v>-4.7135640306731862E-2</v>
      </c>
      <c r="G7">
        <f>IF(F7&lt;=0,0,IF(F7&lt;=入力!$H$23,入力!$D$24*F7*(1-((F7/入力!$H$23)^(入力!$H$27-1))/入力!$H$27),IF(F7&lt;=入力!$H$26,入力!$H$24-入力!$H$25*(F7-入力!$H$23),0)))</f>
        <v>0</v>
      </c>
      <c r="H7">
        <f t="shared" si="1"/>
        <v>0</v>
      </c>
      <c r="I7">
        <f>H7*(入力!$D$3/2-D7)</f>
        <v>0</v>
      </c>
      <c r="K7">
        <f>IF(入力!J7="","",入力!J7)</f>
        <v>750</v>
      </c>
      <c r="L7">
        <f>入力!P7</f>
        <v>3176.8</v>
      </c>
      <c r="M7" s="22">
        <f>IF(入力!J7="","",$B$3+$B$15*(K7-$B$2))</f>
        <v>-2.9989002052626161E-2</v>
      </c>
      <c r="N7">
        <f>IF(入力!J7="","",IF(M7&lt;-入力!$H$19,-入力!$D$12,IF(M7&gt;入力!$H$19,入力!$D$12,入力!$D$17*M7)))</f>
        <v>-345</v>
      </c>
      <c r="O7">
        <f>IF(入力!J7="","",L7*N7)</f>
        <v>-1095996</v>
      </c>
      <c r="P7">
        <f>IF(入力!J7="","",O7*(入力!$D$3/2-K7))</f>
        <v>-273999000</v>
      </c>
    </row>
    <row r="8" spans="1:16" x14ac:dyDescent="0.15">
      <c r="A8" s="7" t="s">
        <v>128</v>
      </c>
      <c r="D8">
        <f>入力!X8</f>
        <v>260</v>
      </c>
      <c r="E8" s="63">
        <f>入力!AI8</f>
        <v>136224.79825404243</v>
      </c>
      <c r="F8" s="22">
        <f t="shared" si="0"/>
        <v>-4.5841554400761625E-2</v>
      </c>
      <c r="G8">
        <f>IF(F8&lt;=0,0,IF(F8&lt;=入力!$H$23,入力!$D$24*F8*(1-((F8/入力!$H$23)^(入力!$H$27-1))/入力!$H$27),IF(F8&lt;=入力!$H$26,入力!$H$24-入力!$H$25*(F8-入力!$H$23),0)))</f>
        <v>0</v>
      </c>
      <c r="H8">
        <f t="shared" si="1"/>
        <v>0</v>
      </c>
      <c r="I8">
        <f>H8*(入力!$D$3/2-D8)</f>
        <v>0</v>
      </c>
      <c r="K8">
        <f>IF(入力!J8="","",入力!J8)</f>
        <v>875</v>
      </c>
      <c r="L8">
        <f>入力!P8</f>
        <v>1588.4</v>
      </c>
      <c r="M8" s="22">
        <f>IF(入力!J8="","",$B$3+$B$15*(K8-$B$2))</f>
        <v>-2.5944983596469153E-2</v>
      </c>
      <c r="N8">
        <f>IF(入力!J8="","",IF(M8&lt;-入力!$H$19,-入力!$D$12,IF(M8&gt;入力!$H$19,入力!$D$12,入力!$D$17*M8)))</f>
        <v>-345</v>
      </c>
      <c r="O8">
        <f>IF(入力!J8="","",L8*N8)</f>
        <v>-547998</v>
      </c>
      <c r="P8">
        <f>IF(入力!J8="","",O8*(入力!$D$3/2-K8))</f>
        <v>-68499750</v>
      </c>
    </row>
    <row r="9" spans="1:16" x14ac:dyDescent="0.15">
      <c r="A9" t="s">
        <v>122</v>
      </c>
      <c r="D9">
        <f>入力!X9</f>
        <v>300</v>
      </c>
      <c r="E9" s="63">
        <f>入力!AI9</f>
        <v>148000</v>
      </c>
      <c r="F9" s="22">
        <f t="shared" si="0"/>
        <v>-4.4547468494791381E-2</v>
      </c>
      <c r="G9">
        <f>IF(F9&lt;=0,0,IF(F9&lt;=入力!$H$23,入力!$D$24*F9*(1-((F9/入力!$H$23)^(入力!$H$27-1))/入力!$H$27),IF(F9&lt;=入力!$H$26,入力!$H$24-入力!$H$25*(F9-入力!$H$23),0)))</f>
        <v>0</v>
      </c>
      <c r="H9">
        <f t="shared" si="1"/>
        <v>0</v>
      </c>
      <c r="I9">
        <f>H9*(入力!$D$3/2-D9)</f>
        <v>0</v>
      </c>
      <c r="K9">
        <f>IF(入力!J9="","",入力!J9)</f>
        <v>1000</v>
      </c>
      <c r="L9">
        <f>入力!P9</f>
        <v>3176.8</v>
      </c>
      <c r="M9" s="22">
        <f>IF(入力!J9="","",$B$3+$B$15*(K9-$B$2))</f>
        <v>-2.1900965140312149E-2</v>
      </c>
      <c r="N9">
        <f>IF(入力!J9="","",IF(M9&lt;-入力!$H$19,-入力!$D$12,IF(M9&gt;入力!$H$19,入力!$D$12,入力!$D$17*M9)))</f>
        <v>-345</v>
      </c>
      <c r="O9">
        <f>IF(入力!J9="","",L9*N9)</f>
        <v>-1095996</v>
      </c>
      <c r="P9">
        <f>IF(入力!J9="","",O9*(入力!$D$3/2-K9))</f>
        <v>0</v>
      </c>
    </row>
    <row r="10" spans="1:16" x14ac:dyDescent="0.15">
      <c r="A10" t="s">
        <v>90</v>
      </c>
      <c r="D10">
        <f>入力!X10</f>
        <v>340</v>
      </c>
      <c r="E10" s="63">
        <f>入力!AI10</f>
        <v>147987.27013196712</v>
      </c>
      <c r="F10" s="22">
        <f t="shared" si="0"/>
        <v>-4.3253382588821138E-2</v>
      </c>
      <c r="G10">
        <f>IF(F10&lt;=0,0,IF(F10&lt;=入力!$H$23,入力!$D$24*F10*(1-((F10/入力!$H$23)^(入力!$H$27-1))/入力!$H$27),IF(F10&lt;=入力!$H$26,入力!$H$24-入力!$H$25*(F10-入力!$H$23),0)))</f>
        <v>0</v>
      </c>
      <c r="H10">
        <f t="shared" si="1"/>
        <v>0</v>
      </c>
      <c r="I10">
        <f>H10*(入力!$D$3/2-D10)</f>
        <v>0</v>
      </c>
      <c r="K10">
        <f>IF(入力!J10="","",入力!J10)</f>
        <v>1125</v>
      </c>
      <c r="L10">
        <f>入力!P10</f>
        <v>1588.4</v>
      </c>
      <c r="M10" s="22">
        <f>IF(入力!J10="","",$B$3+$B$15*(K10-$B$2))</f>
        <v>-1.7856946684155141E-2</v>
      </c>
      <c r="N10">
        <f>IF(入力!J10="","",IF(M10&lt;-入力!$H$19,-入力!$D$12,IF(M10&gt;入力!$H$19,入力!$D$12,入力!$D$17*M10)))</f>
        <v>-345</v>
      </c>
      <c r="O10">
        <f>IF(入力!J10="","",L10*N10)</f>
        <v>-547998</v>
      </c>
      <c r="P10">
        <f>IF(入力!J10="","",O10*(入力!$D$3/2-K10))</f>
        <v>68499750</v>
      </c>
    </row>
    <row r="11" spans="1:16" x14ac:dyDescent="0.15">
      <c r="A11" t="s">
        <v>123</v>
      </c>
      <c r="D11">
        <f>入力!X11</f>
        <v>380</v>
      </c>
      <c r="E11" s="63">
        <f>入力!AI11</f>
        <v>146424.32986803289</v>
      </c>
      <c r="F11" s="22">
        <f t="shared" si="0"/>
        <v>-4.1959296682850894E-2</v>
      </c>
      <c r="G11">
        <f>IF(F11&lt;=0,0,IF(F11&lt;=入力!$H$23,入力!$D$24*F11*(1-((F11/入力!$H$23)^(入力!$H$27-1))/入力!$H$27),IF(F11&lt;=入力!$H$26,入力!$H$24-入力!$H$25*(F11-入力!$H$23),0)))</f>
        <v>0</v>
      </c>
      <c r="H11">
        <f t="shared" si="1"/>
        <v>0</v>
      </c>
      <c r="I11">
        <f>H11*(入力!$D$3/2-D11)</f>
        <v>0</v>
      </c>
      <c r="K11">
        <f>IF(入力!J11="","",入力!J11)</f>
        <v>1250</v>
      </c>
      <c r="L11">
        <f>入力!P11</f>
        <v>3176.8</v>
      </c>
      <c r="M11" s="22">
        <f>IF(入力!J11="","",$B$3+$B$15*(K11-$B$2))</f>
        <v>-1.3812928227998136E-2</v>
      </c>
      <c r="N11">
        <f>IF(入力!J11="","",IF(M11&lt;-入力!$H$19,-入力!$D$12,IF(M11&gt;入力!$H$19,入力!$D$12,入力!$D$17*M11)))</f>
        <v>-345</v>
      </c>
      <c r="O11">
        <f>IF(入力!J11="","",L11*N11)</f>
        <v>-1095996</v>
      </c>
      <c r="P11">
        <f>IF(入力!J11="","",O11*(入力!$D$3/2-K11))</f>
        <v>273999000</v>
      </c>
    </row>
    <row r="12" spans="1:16" x14ac:dyDescent="0.15">
      <c r="A12" t="s">
        <v>91</v>
      </c>
      <c r="D12">
        <f>入力!X12</f>
        <v>420</v>
      </c>
      <c r="E12" s="63">
        <f>入力!AI12</f>
        <v>148000</v>
      </c>
      <c r="F12" s="22">
        <f t="shared" si="0"/>
        <v>-4.0665210776880657E-2</v>
      </c>
      <c r="G12">
        <f>IF(F12&lt;=0,0,IF(F12&lt;=入力!$H$23,入力!$D$24*F12*(1-((F12/入力!$H$23)^(入力!$H$27-1))/入力!$H$27),IF(F12&lt;=入力!$H$26,入力!$H$24-入力!$H$25*(F12-入力!$H$23),0)))</f>
        <v>0</v>
      </c>
      <c r="H12">
        <f t="shared" si="1"/>
        <v>0</v>
      </c>
      <c r="I12">
        <f>H12*(入力!$D$3/2-D12)</f>
        <v>0</v>
      </c>
      <c r="K12">
        <f>IF(入力!J12="","",入力!J12)</f>
        <v>1375</v>
      </c>
      <c r="L12">
        <f>入力!P12</f>
        <v>1588.4</v>
      </c>
      <c r="M12" s="22">
        <f>IF(入力!J12="","",$B$3+$B$15*(K12-$B$2))</f>
        <v>-9.7689097718411319E-3</v>
      </c>
      <c r="N12">
        <f>IF(入力!J12="","",IF(M12&lt;-入力!$H$19,-入力!$D$12,IF(M12&gt;入力!$H$19,入力!$D$12,入力!$D$17*M12)))</f>
        <v>-345</v>
      </c>
      <c r="O12">
        <f>IF(入力!J12="","",L12*N12)</f>
        <v>-547998</v>
      </c>
      <c r="P12">
        <f>IF(入力!J12="","",O12*(入力!$D$3/2-K12))</f>
        <v>205499250</v>
      </c>
    </row>
    <row r="13" spans="1:16" x14ac:dyDescent="0.15">
      <c r="A13" s="7" t="s">
        <v>124</v>
      </c>
      <c r="D13">
        <f>入力!X13</f>
        <v>460</v>
      </c>
      <c r="E13" s="63">
        <f>入力!AI13</f>
        <v>148000</v>
      </c>
      <c r="F13" s="22">
        <f t="shared" si="0"/>
        <v>-3.9371124870910414E-2</v>
      </c>
      <c r="G13">
        <f>IF(F13&lt;=0,0,IF(F13&lt;=入力!$H$23,入力!$D$24*F13*(1-((F13/入力!$H$23)^(入力!$H$27-1))/入力!$H$27),IF(F13&lt;=入力!$H$26,入力!$H$24-入力!$H$25*(F13-入力!$H$23),0)))</f>
        <v>0</v>
      </c>
      <c r="H13">
        <f t="shared" si="1"/>
        <v>0</v>
      </c>
      <c r="I13">
        <f>H13*(入力!$D$3/2-D13)</f>
        <v>0</v>
      </c>
      <c r="K13">
        <f>IF(入力!J13="","",入力!J13)</f>
        <v>1500</v>
      </c>
      <c r="L13">
        <f>入力!P13</f>
        <v>3176.8</v>
      </c>
      <c r="M13" s="22">
        <f>IF(入力!J13="","",$B$3+$B$15*(K13-$B$2))</f>
        <v>-5.7248913156841275E-3</v>
      </c>
      <c r="N13">
        <f>IF(入力!J13="","",IF(M13&lt;-入力!$H$19,-入力!$D$12,IF(M13&gt;入力!$H$19,入力!$D$12,入力!$D$17*M13)))</f>
        <v>-345</v>
      </c>
      <c r="O13">
        <f>IF(入力!J13="","",L13*N13)</f>
        <v>-1095996</v>
      </c>
      <c r="P13">
        <f>IF(入力!J13="","",O13*(入力!$D$3/2-K13))</f>
        <v>547998000</v>
      </c>
    </row>
    <row r="14" spans="1:16" x14ac:dyDescent="0.15">
      <c r="B14" t="s">
        <v>159</v>
      </c>
      <c r="D14">
        <f>入力!X14</f>
        <v>500</v>
      </c>
      <c r="E14" s="63">
        <f>入力!AI14</f>
        <v>144823.20000000001</v>
      </c>
      <c r="F14" s="22">
        <f t="shared" si="0"/>
        <v>-3.807703896494017E-2</v>
      </c>
      <c r="G14">
        <f>IF(F14&lt;=0,0,IF(F14&lt;=入力!$H$23,入力!$D$24*F14*(1-((F14/入力!$H$23)^(入力!$H$27-1))/入力!$H$27),IF(F14&lt;=入力!$H$26,入力!$H$24-入力!$H$25*(F14-入力!$H$23),0)))</f>
        <v>0</v>
      </c>
      <c r="H14">
        <f t="shared" si="1"/>
        <v>0</v>
      </c>
      <c r="I14">
        <f>H14*(入力!$D$3/2-D14)</f>
        <v>0</v>
      </c>
      <c r="K14">
        <f>IF(入力!J14="","",入力!J14)</f>
        <v>1625</v>
      </c>
      <c r="L14">
        <f>入力!P14</f>
        <v>1588.4</v>
      </c>
      <c r="M14" s="22">
        <f>IF(入力!J14="","",$B$3+$B$15*(K14-$B$2))</f>
        <v>-1.680872859527123E-3</v>
      </c>
      <c r="N14">
        <f>IF(入力!J14="","",IF(M14&lt;-入力!$H$19,-入力!$D$12,IF(M14&gt;入力!$H$19,入力!$D$12,入力!$D$17*M14)))</f>
        <v>-336.17457190542461</v>
      </c>
      <c r="O14">
        <f>IF(入力!J14="","",L14*N14)</f>
        <v>-533979.69001457654</v>
      </c>
      <c r="P14">
        <f>IF(入力!J14="","",O14*(入力!$D$3/2-K14))</f>
        <v>333737306.25911033</v>
      </c>
    </row>
    <row r="15" spans="1:16" x14ac:dyDescent="0.15">
      <c r="A15" s="5" t="s">
        <v>39</v>
      </c>
      <c r="B15" s="23">
        <v>3.2352147649256046E-5</v>
      </c>
      <c r="C15" s="24" t="s">
        <v>76</v>
      </c>
      <c r="D15">
        <f>入力!X15</f>
        <v>540</v>
      </c>
      <c r="E15" s="63">
        <f>入力!AI15</f>
        <v>148000</v>
      </c>
      <c r="F15" s="22">
        <f t="shared" si="0"/>
        <v>-3.6782953058969933E-2</v>
      </c>
      <c r="G15">
        <f>IF(F15&lt;=0,0,IF(F15&lt;=入力!$H$23,入力!$D$24*F15*(1-((F15/入力!$H$23)^(入力!$H$27-1))/入力!$H$27),IF(F15&lt;=入力!$H$26,入力!$H$24-入力!$H$25*(F15-入力!$H$23),0)))</f>
        <v>0</v>
      </c>
      <c r="H15">
        <f t="shared" si="1"/>
        <v>0</v>
      </c>
      <c r="I15">
        <f>H15*(入力!$D$3/2-D15)</f>
        <v>0</v>
      </c>
      <c r="K15">
        <f>IF(入力!J15="","",入力!J15)</f>
        <v>1750</v>
      </c>
      <c r="L15">
        <f>入力!P15</f>
        <v>13501.400000000001</v>
      </c>
      <c r="M15" s="22">
        <f>IF(入力!J15="","",$B$3+$B$15*(K15-$B$2))</f>
        <v>2.3631455966298884E-3</v>
      </c>
      <c r="N15">
        <f>IF(入力!J15="","",IF(M15&lt;-入力!$H$19,-入力!$D$12,IF(M15&gt;入力!$H$19,入力!$D$12,入力!$D$17*M15)))</f>
        <v>345</v>
      </c>
      <c r="O15">
        <f>IF(入力!J15="","",L15*N15)</f>
        <v>4657983.0000000009</v>
      </c>
      <c r="P15">
        <f>IF(入力!J15="","",O15*(入力!$D$3/2-K15))</f>
        <v>-3493487250.0000005</v>
      </c>
    </row>
    <row r="16" spans="1:16" x14ac:dyDescent="0.15">
      <c r="A16" s="5" t="s">
        <v>78</v>
      </c>
      <c r="B16" s="25">
        <f>-SUM(I2:I51)-SUM(P2:P51)</f>
        <v>34299876907.884529</v>
      </c>
      <c r="C16" s="4" t="s">
        <v>157</v>
      </c>
      <c r="D16">
        <f>入力!X16</f>
        <v>580</v>
      </c>
      <c r="E16" s="63">
        <f>入力!AI16</f>
        <v>148000</v>
      </c>
      <c r="F16" s="22">
        <f t="shared" si="0"/>
        <v>-3.548886715299969E-2</v>
      </c>
      <c r="G16">
        <f>IF(F16&lt;=0,0,IF(F16&lt;=入力!$H$23,入力!$D$24*F16*(1-((F16/入力!$H$23)^(入力!$H$27-1))/入力!$H$27),IF(F16&lt;=入力!$H$26,入力!$H$24-入力!$H$25*(F16-入力!$H$23),0)))</f>
        <v>0</v>
      </c>
      <c r="H16">
        <f t="shared" si="1"/>
        <v>0</v>
      </c>
      <c r="I16">
        <f>H16*(入力!$D$3/2-D16)</f>
        <v>0</v>
      </c>
      <c r="K16">
        <f>IF(入力!J16="","",入力!J16)</f>
        <v>1850</v>
      </c>
      <c r="L16">
        <f>入力!P16</f>
        <v>24620.2</v>
      </c>
      <c r="M16" s="22">
        <f>IF(入力!J16="","",$B$3+$B$15*(K16-$B$2))</f>
        <v>5.5983603615554905E-3</v>
      </c>
      <c r="N16">
        <f>IF(入力!J16="","",IF(M16&lt;-入力!$H$19,-入力!$D$12,IF(M16&gt;入力!$H$19,入力!$D$12,入力!$D$17*M16)))</f>
        <v>345</v>
      </c>
      <c r="O16">
        <f>IF(入力!J16="","",L16*N16)</f>
        <v>8493969</v>
      </c>
      <c r="P16">
        <f>IF(入力!J16="","",O16*(入力!$D$3/2-K16))</f>
        <v>-7219873650</v>
      </c>
    </row>
    <row r="17" spans="1:16" x14ac:dyDescent="0.15">
      <c r="A17" s="18"/>
      <c r="B17" s="18"/>
      <c r="D17">
        <f>入力!X17</f>
        <v>620</v>
      </c>
      <c r="E17" s="63">
        <f>入力!AI17</f>
        <v>146424.27779052482</v>
      </c>
      <c r="F17" s="22">
        <f t="shared" si="0"/>
        <v>-3.4194781247029446E-2</v>
      </c>
      <c r="G17">
        <f>IF(F17&lt;=0,0,IF(F17&lt;=入力!$H$23,入力!$D$24*F17*(1-((F17/入力!$H$23)^(入力!$H$27-1))/入力!$H$27),IF(F17&lt;=入力!$H$26,入力!$H$24-入力!$H$25*(F17-入力!$H$23),0)))</f>
        <v>0</v>
      </c>
      <c r="H17">
        <f t="shared" si="1"/>
        <v>0</v>
      </c>
      <c r="I17">
        <f>H17*(入力!$D$3/2-D17)</f>
        <v>0</v>
      </c>
      <c r="K17" t="str">
        <f>IF(入力!J17="","",入力!J17)</f>
        <v/>
      </c>
      <c r="L17" t="str">
        <f>入力!P17</f>
        <v/>
      </c>
      <c r="M17" s="22" t="str">
        <f>IF(入力!J17="","",$B$3+$B$15*(K17-$B$2))</f>
        <v/>
      </c>
      <c r="N17" t="str">
        <f>IF(入力!J17="","",IF(M17&lt;-入力!$H$19,-入力!$D$12,IF(M17&gt;入力!$H$19,入力!$D$12,入力!$D$17*M17)))</f>
        <v/>
      </c>
      <c r="O17" t="str">
        <f>IF(入力!J17="","",L17*N17)</f>
        <v/>
      </c>
      <c r="P17" t="str">
        <f>IF(入力!J17="","",O17*(入力!$D$3/2-K17))</f>
        <v/>
      </c>
    </row>
    <row r="18" spans="1:16" x14ac:dyDescent="0.15">
      <c r="A18" s="18"/>
      <c r="B18" s="18"/>
      <c r="D18">
        <f>入力!X18</f>
        <v>660</v>
      </c>
      <c r="E18" s="63">
        <f>入力!AI18</f>
        <v>147987.32220947518</v>
      </c>
      <c r="F18" s="22">
        <f t="shared" si="0"/>
        <v>-3.2900695341059202E-2</v>
      </c>
      <c r="G18">
        <f>IF(F18&lt;=0,0,IF(F18&lt;=入力!$H$23,入力!$D$24*F18*(1-((F18/入力!$H$23)^(入力!$H$27-1))/入力!$H$27),IF(F18&lt;=入力!$H$26,入力!$H$24-入力!$H$25*(F18-入力!$H$23),0)))</f>
        <v>0</v>
      </c>
      <c r="H18">
        <f t="shared" si="1"/>
        <v>0</v>
      </c>
      <c r="I18">
        <f>H18*(入力!$D$3/2-D18)</f>
        <v>0</v>
      </c>
      <c r="K18" t="str">
        <f>IF(入力!J18="","",入力!J18)</f>
        <v/>
      </c>
      <c r="L18" t="str">
        <f>入力!P18</f>
        <v/>
      </c>
      <c r="M18" s="22" t="str">
        <f>IF(入力!J18="","",$B$3+$B$15*(K18-$B$2))</f>
        <v/>
      </c>
      <c r="N18" t="str">
        <f>IF(入力!J18="","",IF(M18&lt;-入力!$H$19,-入力!$D$12,IF(M18&gt;入力!$H$19,入力!$D$12,入力!$D$17*M18)))</f>
        <v/>
      </c>
      <c r="O18" t="str">
        <f>IF(入力!J18="","",L18*N18)</f>
        <v/>
      </c>
      <c r="P18" t="str">
        <f>IF(入力!J18="","",O18*(入力!$D$3/2-K18))</f>
        <v/>
      </c>
    </row>
    <row r="19" spans="1:16" x14ac:dyDescent="0.15">
      <c r="A19" s="18"/>
      <c r="B19" s="18"/>
      <c r="D19">
        <f>入力!X19</f>
        <v>700</v>
      </c>
      <c r="E19" s="63">
        <f>入力!AI19</f>
        <v>148000</v>
      </c>
      <c r="F19" s="22">
        <f t="shared" si="0"/>
        <v>-3.1606609435088959E-2</v>
      </c>
      <c r="G19">
        <f>IF(F19&lt;=0,0,IF(F19&lt;=入力!$H$23,入力!$D$24*F19*(1-((F19/入力!$H$23)^(入力!$H$27-1))/入力!$H$27),IF(F19&lt;=入力!$H$26,入力!$H$24-入力!$H$25*(F19-入力!$H$23),0)))</f>
        <v>0</v>
      </c>
      <c r="H19">
        <f t="shared" si="1"/>
        <v>0</v>
      </c>
      <c r="I19">
        <f>H19*(入力!$D$3/2-D19)</f>
        <v>0</v>
      </c>
      <c r="K19" t="str">
        <f>IF(入力!J19="","",入力!J19)</f>
        <v/>
      </c>
      <c r="L19" t="str">
        <f>入力!P19</f>
        <v/>
      </c>
      <c r="M19" s="22" t="str">
        <f>IF(入力!J19="","",$B$3+$B$15*(K19-$B$2))</f>
        <v/>
      </c>
      <c r="N19" t="str">
        <f>IF(入力!J19="","",IF(M19&lt;-入力!$H$19,-入力!$D$12,IF(M19&gt;入力!$H$19,入力!$D$12,入力!$D$17*M19)))</f>
        <v/>
      </c>
      <c r="O19" t="str">
        <f>IF(入力!J19="","",L19*N19)</f>
        <v/>
      </c>
      <c r="P19" t="str">
        <f>IF(入力!J19="","",O19*(入力!$D$3/2-K19))</f>
        <v/>
      </c>
    </row>
    <row r="20" spans="1:16" x14ac:dyDescent="0.15">
      <c r="A20" s="18"/>
      <c r="B20" s="18"/>
      <c r="D20">
        <f>入力!X20</f>
        <v>740</v>
      </c>
      <c r="E20" s="63">
        <f>入力!AI20</f>
        <v>145229.26014005265</v>
      </c>
      <c r="F20" s="22">
        <f t="shared" si="0"/>
        <v>-3.0312523529118722E-2</v>
      </c>
      <c r="G20">
        <f>IF(F20&lt;=0,0,IF(F20&lt;=入力!$H$23,入力!$D$24*F20*(1-((F20/入力!$H$23)^(入力!$H$27-1))/入力!$H$27),IF(F20&lt;=入力!$H$26,入力!$H$24-入力!$H$25*(F20-入力!$H$23),0)))</f>
        <v>0</v>
      </c>
      <c r="H20">
        <f t="shared" si="1"/>
        <v>0</v>
      </c>
      <c r="I20">
        <f>H20*(入力!$D$3/2-D20)</f>
        <v>0</v>
      </c>
      <c r="K20" t="str">
        <f>IF(入力!J20="","",入力!J20)</f>
        <v/>
      </c>
      <c r="L20" t="str">
        <f>入力!P20</f>
        <v/>
      </c>
      <c r="M20" s="22" t="str">
        <f>IF(入力!J20="","",$B$3+$B$15*(K20-$B$2))</f>
        <v/>
      </c>
      <c r="N20" t="str">
        <f>IF(入力!J20="","",IF(M20&lt;-入力!$H$19,-入力!$D$12,IF(M20&gt;入力!$H$19,入力!$D$12,入力!$D$17*M20)))</f>
        <v/>
      </c>
      <c r="O20" t="str">
        <f>IF(入力!J20="","",L20*N20)</f>
        <v/>
      </c>
      <c r="P20" t="str">
        <f>IF(入力!J20="","",O20*(入力!$D$3/2-K20))</f>
        <v/>
      </c>
    </row>
    <row r="21" spans="1:16" x14ac:dyDescent="0.15">
      <c r="A21" s="18"/>
      <c r="B21" s="18"/>
      <c r="D21">
        <f>入力!X21</f>
        <v>780</v>
      </c>
      <c r="E21" s="63">
        <f>入力!AI21</f>
        <v>147593.93985994734</v>
      </c>
      <c r="F21" s="22">
        <f t="shared" si="0"/>
        <v>-2.9018437623148478E-2</v>
      </c>
      <c r="G21">
        <f>IF(F21&lt;=0,0,IF(F21&lt;=入力!$H$23,入力!$D$24*F21*(1-((F21/入力!$H$23)^(入力!$H$27-1))/入力!$H$27),IF(F21&lt;=入力!$H$26,入力!$H$24-入力!$H$25*(F21-入力!$H$23),0)))</f>
        <v>0</v>
      </c>
      <c r="H21">
        <f t="shared" si="1"/>
        <v>0</v>
      </c>
      <c r="I21">
        <f>H21*(入力!$D$3/2-D21)</f>
        <v>0</v>
      </c>
      <c r="K21" t="str">
        <f>IF(入力!J21="","",入力!J21)</f>
        <v/>
      </c>
      <c r="L21" t="str">
        <f>入力!P21</f>
        <v/>
      </c>
      <c r="M21" s="22" t="str">
        <f>IF(入力!J21="","",$B$3+$B$15*(K21-$B$2))</f>
        <v/>
      </c>
      <c r="N21" t="str">
        <f>IF(入力!J21="","",IF(M21&lt;-入力!$H$19,-入力!$D$12,IF(M21&gt;入力!$H$19,入力!$D$12,入力!$D$17*M21)))</f>
        <v/>
      </c>
      <c r="O21" t="str">
        <f>IF(入力!J21="","",L21*N21)</f>
        <v/>
      </c>
      <c r="P21" t="str">
        <f>IF(入力!J21="","",O21*(入力!$D$3/2-K21))</f>
        <v/>
      </c>
    </row>
    <row r="22" spans="1:16" x14ac:dyDescent="0.15">
      <c r="A22" s="18"/>
      <c r="B22" s="18"/>
      <c r="D22">
        <f>入力!X22</f>
        <v>820</v>
      </c>
      <c r="E22" s="63">
        <f>入力!AI22</f>
        <v>148000</v>
      </c>
      <c r="F22" s="22">
        <f t="shared" si="0"/>
        <v>-2.7724351717178238E-2</v>
      </c>
      <c r="G22">
        <f>IF(F22&lt;=0,0,IF(F22&lt;=入力!$H$23,入力!$D$24*F22*(1-((F22/入力!$H$23)^(入力!$H$27-1))/入力!$H$27),IF(F22&lt;=入力!$H$26,入力!$H$24-入力!$H$25*(F22-入力!$H$23),0)))</f>
        <v>0</v>
      </c>
      <c r="H22">
        <f t="shared" si="1"/>
        <v>0</v>
      </c>
      <c r="I22">
        <f>H22*(入力!$D$3/2-D22)</f>
        <v>0</v>
      </c>
      <c r="K22" t="str">
        <f>IF(入力!J22="","",入力!J22)</f>
        <v/>
      </c>
      <c r="L22" t="str">
        <f>入力!P22</f>
        <v/>
      </c>
      <c r="M22" s="22" t="str">
        <f>IF(入力!J22="","",$B$3+$B$15*(K22-$B$2))</f>
        <v/>
      </c>
      <c r="N22" t="str">
        <f>IF(入力!J22="","",IF(M22&lt;-入力!$H$19,-入力!$D$12,IF(M22&gt;入力!$H$19,入力!$D$12,入力!$D$17*M22)))</f>
        <v/>
      </c>
      <c r="O22" t="str">
        <f>IF(入力!J22="","",L22*N22)</f>
        <v/>
      </c>
      <c r="P22" t="str">
        <f>IF(入力!J22="","",O22*(入力!$D$3/2-K22))</f>
        <v/>
      </c>
    </row>
    <row r="23" spans="1:16" x14ac:dyDescent="0.15">
      <c r="A23" s="18"/>
      <c r="B23" s="18"/>
      <c r="D23">
        <f>入力!X23</f>
        <v>860</v>
      </c>
      <c r="E23" s="63">
        <f>入力!AI23</f>
        <v>146893.09567954077</v>
      </c>
      <c r="F23" s="22">
        <f t="shared" si="0"/>
        <v>-2.6430265811207995E-2</v>
      </c>
      <c r="G23">
        <f>IF(F23&lt;=0,0,IF(F23&lt;=入力!$H$23,入力!$D$24*F23*(1-((F23/入力!$H$23)^(入力!$H$27-1))/入力!$H$27),IF(F23&lt;=入力!$H$26,入力!$H$24-入力!$H$25*(F23-入力!$H$23),0)))</f>
        <v>0</v>
      </c>
      <c r="H23">
        <f t="shared" si="1"/>
        <v>0</v>
      </c>
      <c r="I23">
        <f>H23*(入力!$D$3/2-D23)</f>
        <v>0</v>
      </c>
      <c r="K23" t="str">
        <f>IF(入力!J23="","",入力!J23)</f>
        <v/>
      </c>
      <c r="L23" t="str">
        <f>入力!P23</f>
        <v/>
      </c>
      <c r="M23" s="22" t="str">
        <f>IF(入力!J23="","",$B$3+$B$15*(K23-$B$2))</f>
        <v/>
      </c>
      <c r="N23" t="str">
        <f>IF(入力!J23="","",IF(M23&lt;-入力!$H$19,-入力!$D$12,IF(M23&gt;入力!$H$19,入力!$D$12,入力!$D$17*M23)))</f>
        <v/>
      </c>
      <c r="O23" t="str">
        <f>IF(入力!J23="","",L23*N23)</f>
        <v/>
      </c>
      <c r="P23" t="str">
        <f>IF(入力!J23="","",O23*(入力!$D$3/2-K23))</f>
        <v/>
      </c>
    </row>
    <row r="24" spans="1:16" x14ac:dyDescent="0.15">
      <c r="A24" s="18"/>
      <c r="B24" s="18"/>
      <c r="D24">
        <f>入力!X24</f>
        <v>900</v>
      </c>
      <c r="E24" s="63">
        <f>入力!AI24</f>
        <v>147518.50432045924</v>
      </c>
      <c r="F24" s="22">
        <f t="shared" si="0"/>
        <v>-2.5136179905237754E-2</v>
      </c>
      <c r="G24">
        <f>IF(F24&lt;=0,0,IF(F24&lt;=入力!$H$23,入力!$D$24*F24*(1-((F24/入力!$H$23)^(入力!$H$27-1))/入力!$H$27),IF(F24&lt;=入力!$H$26,入力!$H$24-入力!$H$25*(F24-入力!$H$23),0)))</f>
        <v>0</v>
      </c>
      <c r="H24">
        <f t="shared" si="1"/>
        <v>0</v>
      </c>
      <c r="I24">
        <f>H24*(入力!$D$3/2-D24)</f>
        <v>0</v>
      </c>
      <c r="K24" t="str">
        <f>IF(入力!J24="","",入力!J24)</f>
        <v/>
      </c>
      <c r="L24" t="str">
        <f>入力!P24</f>
        <v/>
      </c>
      <c r="M24" s="22" t="str">
        <f>IF(入力!J24="","",$B$3+$B$15*(K24-$B$2))</f>
        <v/>
      </c>
      <c r="N24" t="str">
        <f>IF(入力!J24="","",IF(M24&lt;-入力!$H$19,-入力!$D$12,IF(M24&gt;入力!$H$19,入力!$D$12,入力!$D$17*M24)))</f>
        <v/>
      </c>
      <c r="O24" t="str">
        <f>IF(入力!J24="","",L24*N24)</f>
        <v/>
      </c>
      <c r="P24" t="str">
        <f>IF(入力!J24="","",O24*(入力!$D$3/2-K24))</f>
        <v/>
      </c>
    </row>
    <row r="25" spans="1:16" x14ac:dyDescent="0.15">
      <c r="A25" s="18"/>
      <c r="B25" s="18"/>
      <c r="D25">
        <f>入力!X25</f>
        <v>940</v>
      </c>
      <c r="E25" s="63">
        <f>入力!AI25</f>
        <v>148000</v>
      </c>
      <c r="F25" s="22">
        <f t="shared" si="0"/>
        <v>-2.3842093999267511E-2</v>
      </c>
      <c r="G25">
        <f>IF(F25&lt;=0,0,IF(F25&lt;=入力!$H$23,入力!$D$24*F25*(1-((F25/入力!$H$23)^(入力!$H$27-1))/入力!$H$27),IF(F25&lt;=入力!$H$26,入力!$H$24-入力!$H$25*(F25-入力!$H$23),0)))</f>
        <v>0</v>
      </c>
      <c r="H25">
        <f t="shared" si="1"/>
        <v>0</v>
      </c>
      <c r="I25">
        <f>H25*(入力!$D$3/2-D25)</f>
        <v>0</v>
      </c>
      <c r="K25" t="str">
        <f>IF(入力!J25="","",入力!J25)</f>
        <v/>
      </c>
      <c r="L25" t="str">
        <f>入力!P25</f>
        <v/>
      </c>
      <c r="M25" s="22" t="str">
        <f>IF(入力!J25="","",$B$3+$B$15*(K25-$B$2))</f>
        <v/>
      </c>
      <c r="N25" t="str">
        <f>IF(入力!J25="","",IF(M25&lt;-入力!$H$19,-入力!$D$12,IF(M25&gt;入力!$H$19,入力!$D$12,入力!$D$17*M25)))</f>
        <v/>
      </c>
      <c r="O25" t="str">
        <f>IF(入力!J25="","",L25*N25)</f>
        <v/>
      </c>
      <c r="P25" t="str">
        <f>IF(入力!J25="","",O25*(入力!$D$3/2-K25))</f>
        <v/>
      </c>
    </row>
    <row r="26" spans="1:16" x14ac:dyDescent="0.15">
      <c r="A26" s="18"/>
      <c r="B26" s="18"/>
      <c r="D26">
        <f>入力!X26</f>
        <v>980</v>
      </c>
      <c r="E26" s="63">
        <f>入力!AI26</f>
        <v>146411.54792249191</v>
      </c>
      <c r="F26" s="22">
        <f t="shared" si="0"/>
        <v>-2.2548008093297271E-2</v>
      </c>
      <c r="G26">
        <f>IF(F26&lt;=0,0,IF(F26&lt;=入力!$H$23,入力!$D$24*F26*(1-((F26/入力!$H$23)^(入力!$H$27-1))/入力!$H$27),IF(F26&lt;=入力!$H$26,入力!$H$24-入力!$H$25*(F26-入力!$H$23),0)))</f>
        <v>0</v>
      </c>
      <c r="H26">
        <f t="shared" si="1"/>
        <v>0</v>
      </c>
      <c r="I26">
        <f>H26*(入力!$D$3/2-D26)</f>
        <v>0</v>
      </c>
      <c r="K26" t="str">
        <f>IF(入力!J26="","",入力!J26)</f>
        <v/>
      </c>
      <c r="L26" t="str">
        <f>入力!P26</f>
        <v/>
      </c>
      <c r="M26" s="22" t="str">
        <f>IF(入力!J26="","",$B$3+$B$15*(K26-$B$2))</f>
        <v/>
      </c>
      <c r="N26" t="str">
        <f>IF(入力!J26="","",IF(M26&lt;-入力!$H$19,-入力!$D$12,IF(M26&gt;入力!$H$19,入力!$D$12,入力!$D$17*M26)))</f>
        <v/>
      </c>
      <c r="O26" t="str">
        <f>IF(入力!J26="","",L26*N26)</f>
        <v/>
      </c>
      <c r="P26" t="str">
        <f>IF(入力!J26="","",O26*(入力!$D$3/2-K26))</f>
        <v/>
      </c>
    </row>
    <row r="27" spans="1:16" x14ac:dyDescent="0.15">
      <c r="A27" s="18"/>
      <c r="B27" s="18"/>
      <c r="D27">
        <f>入力!X27</f>
        <v>1020</v>
      </c>
      <c r="E27" s="63">
        <f>入力!AI27</f>
        <v>146411.65207750807</v>
      </c>
      <c r="F27" s="22">
        <f t="shared" si="0"/>
        <v>-2.1253922187327027E-2</v>
      </c>
      <c r="G27">
        <f>IF(F27&lt;=0,0,IF(F27&lt;=入力!$H$23,入力!$D$24*F27*(1-((F27/入力!$H$23)^(入力!$H$27-1))/入力!$H$27),IF(F27&lt;=入力!$H$26,入力!$H$24-入力!$H$25*(F27-入力!$H$23),0)))</f>
        <v>0</v>
      </c>
      <c r="H27">
        <f t="shared" si="1"/>
        <v>0</v>
      </c>
      <c r="I27">
        <f>H27*(入力!$D$3/2-D27)</f>
        <v>0</v>
      </c>
      <c r="K27" t="str">
        <f>IF(入力!J27="","",入力!J27)</f>
        <v/>
      </c>
      <c r="L27" t="str">
        <f>入力!P27</f>
        <v/>
      </c>
      <c r="M27" s="22" t="str">
        <f>IF(入力!J27="","",$B$3+$B$15*(K27-$B$2))</f>
        <v/>
      </c>
      <c r="N27" t="str">
        <f>IF(入力!J27="","",IF(M27&lt;-入力!$H$19,-入力!$D$12,IF(M27&gt;入力!$H$19,入力!$D$12,入力!$D$17*M27)))</f>
        <v/>
      </c>
      <c r="O27" t="str">
        <f>IF(入力!J27="","",L27*N27)</f>
        <v/>
      </c>
      <c r="P27" t="str">
        <f>IF(入力!J27="","",O27*(入力!$D$3/2-K27))</f>
        <v/>
      </c>
    </row>
    <row r="28" spans="1:16" x14ac:dyDescent="0.15">
      <c r="A28" s="18"/>
      <c r="B28" s="18"/>
      <c r="D28">
        <f>入力!X28</f>
        <v>1060</v>
      </c>
      <c r="E28" s="63">
        <f>入力!AI28</f>
        <v>148000</v>
      </c>
      <c r="F28" s="22">
        <f t="shared" si="0"/>
        <v>-1.9959836281356787E-2</v>
      </c>
      <c r="G28">
        <f>IF(F28&lt;=0,0,IF(F28&lt;=入力!$H$23,入力!$D$24*F28*(1-((F28/入力!$H$23)^(入力!$H$27-1))/入力!$H$27),IF(F28&lt;=入力!$H$26,入力!$H$24-入力!$H$25*(F28-入力!$H$23),0)))</f>
        <v>0</v>
      </c>
      <c r="H28">
        <f t="shared" si="1"/>
        <v>0</v>
      </c>
      <c r="I28">
        <f>H28*(入力!$D$3/2-D28)</f>
        <v>0</v>
      </c>
      <c r="K28" t="str">
        <f>IF(入力!J28="","",入力!J28)</f>
        <v/>
      </c>
      <c r="L28" t="str">
        <f>入力!P28</f>
        <v/>
      </c>
      <c r="M28" s="22" t="str">
        <f>IF(入力!J28="","",$B$3+$B$15*(K28-$B$2))</f>
        <v/>
      </c>
      <c r="N28" t="str">
        <f>IF(入力!J28="","",IF(M28&lt;-入力!$H$19,-入力!$D$12,IF(M28&gt;入力!$H$19,入力!$D$12,入力!$D$17*M28)))</f>
        <v/>
      </c>
      <c r="O28" t="str">
        <f>IF(入力!J28="","",L28*N28)</f>
        <v/>
      </c>
      <c r="P28" t="str">
        <f>IF(入力!J28="","",O28*(入力!$D$3/2-K28))</f>
        <v/>
      </c>
    </row>
    <row r="29" spans="1:16" x14ac:dyDescent="0.15">
      <c r="A29" s="18"/>
      <c r="B29" s="18"/>
      <c r="D29">
        <f>入力!X29</f>
        <v>1100</v>
      </c>
      <c r="E29" s="63">
        <f>入力!AI29</f>
        <v>147518.45224295117</v>
      </c>
      <c r="F29" s="22">
        <f t="shared" si="0"/>
        <v>-1.8665750375386543E-2</v>
      </c>
      <c r="G29">
        <f>IF(F29&lt;=0,0,IF(F29&lt;=入力!$H$23,入力!$D$24*F29*(1-((F29/入力!$H$23)^(入力!$H$27-1))/入力!$H$27),IF(F29&lt;=入力!$H$26,入力!$H$24-入力!$H$25*(F29-入力!$H$23),0)))</f>
        <v>0</v>
      </c>
      <c r="H29">
        <f t="shared" si="1"/>
        <v>0</v>
      </c>
      <c r="I29">
        <f>H29*(入力!$D$3/2-D29)</f>
        <v>0</v>
      </c>
      <c r="K29" t="str">
        <f>IF(入力!J29="","",入力!J29)</f>
        <v/>
      </c>
      <c r="L29" t="str">
        <f>入力!P29</f>
        <v/>
      </c>
      <c r="M29" s="22" t="str">
        <f>IF(入力!J29="","",$B$3+$B$15*(K29-$B$2))</f>
        <v/>
      </c>
      <c r="N29" t="str">
        <f>IF(入力!J29="","",IF(M29&lt;-入力!$H$19,-入力!$D$12,IF(M29&gt;入力!$H$19,入力!$D$12,入力!$D$17*M29)))</f>
        <v/>
      </c>
      <c r="O29" t="str">
        <f>IF(入力!J29="","",L29*N29)</f>
        <v/>
      </c>
      <c r="P29" t="str">
        <f>IF(入力!J29="","",O29*(入力!$D$3/2-K29))</f>
        <v/>
      </c>
    </row>
    <row r="30" spans="1:16" x14ac:dyDescent="0.15">
      <c r="D30">
        <f>入力!X30</f>
        <v>1140</v>
      </c>
      <c r="E30" s="63">
        <f>入力!AI30</f>
        <v>146893.14775704884</v>
      </c>
      <c r="F30" s="22">
        <f t="shared" si="0"/>
        <v>-1.7371664469416299E-2</v>
      </c>
      <c r="G30">
        <f>IF(F30&lt;=0,0,IF(F30&lt;=入力!$H$23,入力!$D$24*F30*(1-((F30/入力!$H$23)^(入力!$H$27-1))/入力!$H$27),IF(F30&lt;=入力!$H$26,入力!$H$24-入力!$H$25*(F30-入力!$H$23),0)))</f>
        <v>0</v>
      </c>
      <c r="H30">
        <f t="shared" si="1"/>
        <v>0</v>
      </c>
      <c r="I30">
        <f>H30*(入力!$D$3/2-D30)</f>
        <v>0</v>
      </c>
      <c r="K30" t="str">
        <f>IF(入力!J30="","",入力!J30)</f>
        <v/>
      </c>
      <c r="L30" t="str">
        <f>入力!P30</f>
        <v/>
      </c>
      <c r="M30" s="22" t="str">
        <f>IF(入力!J30="","",$B$3+$B$15*(K30-$B$2))</f>
        <v/>
      </c>
      <c r="N30" t="str">
        <f>IF(入力!J30="","",IF(M30&lt;-入力!$H$19,-入力!$D$12,IF(M30&gt;入力!$H$19,入力!$D$12,入力!$D$17*M30)))</f>
        <v/>
      </c>
      <c r="O30" t="str">
        <f>IF(入力!J30="","",L30*N30)</f>
        <v/>
      </c>
      <c r="P30" t="str">
        <f>IF(入力!J30="","",O30*(入力!$D$3/2-K30))</f>
        <v/>
      </c>
    </row>
    <row r="31" spans="1:16" x14ac:dyDescent="0.15">
      <c r="D31">
        <f>入力!X31</f>
        <v>1200</v>
      </c>
      <c r="E31" s="63">
        <f>入力!AI31</f>
        <v>148000</v>
      </c>
      <c r="F31" s="22">
        <f t="shared" si="0"/>
        <v>-1.5430535610460941E-2</v>
      </c>
      <c r="G31">
        <f>IF(F31&lt;=0,0,IF(F31&lt;=入力!$H$23,入力!$D$24*F31*(1-((F31/入力!$H$23)^(入力!$H$27-1))/入力!$H$27),IF(F31&lt;=入力!$H$26,入力!$H$24-入力!$H$25*(F31-入力!$H$23),0)))</f>
        <v>0</v>
      </c>
      <c r="H31">
        <f t="shared" si="1"/>
        <v>0</v>
      </c>
      <c r="I31">
        <f>H31*(入力!$D$3/2-D31)</f>
        <v>0</v>
      </c>
      <c r="K31" t="str">
        <f>IF(入力!J31="","",入力!J31)</f>
        <v/>
      </c>
      <c r="L31" t="str">
        <f>入力!P31</f>
        <v/>
      </c>
      <c r="M31" s="22" t="str">
        <f>IF(入力!J31="","",$B$3+$B$15*(K31-$B$2))</f>
        <v/>
      </c>
      <c r="N31" t="str">
        <f>IF(入力!J31="","",IF(M31&lt;-入力!$H$19,-入力!$D$12,IF(M31&gt;入力!$H$19,入力!$D$12,入力!$D$17*M31)))</f>
        <v/>
      </c>
      <c r="O31" t="str">
        <f>IF(入力!J31="","",L31*N31)</f>
        <v/>
      </c>
      <c r="P31" t="str">
        <f>IF(入力!J31="","",O31*(入力!$D$3/2-K31))</f>
        <v/>
      </c>
    </row>
    <row r="32" spans="1:16" x14ac:dyDescent="0.15">
      <c r="D32">
        <f>入力!X32</f>
        <v>1240</v>
      </c>
      <c r="E32" s="63">
        <f>入力!AI32</f>
        <v>147593.8357049312</v>
      </c>
      <c r="F32" s="22">
        <f t="shared" si="0"/>
        <v>-1.4136449704490697E-2</v>
      </c>
      <c r="G32">
        <f>IF(F32&lt;=0,0,IF(F32&lt;=入力!$H$23,入力!$D$24*F32*(1-((F32/入力!$H$23)^(入力!$H$27-1))/入力!$H$27),IF(F32&lt;=入力!$H$26,入力!$H$24-入力!$H$25*(F32-入力!$H$23),0)))</f>
        <v>0</v>
      </c>
      <c r="H32">
        <f t="shared" si="1"/>
        <v>0</v>
      </c>
      <c r="I32">
        <f>H32*(入力!$D$3/2-D32)</f>
        <v>0</v>
      </c>
      <c r="K32" t="str">
        <f>IF(入力!J32="","",入力!J32)</f>
        <v/>
      </c>
      <c r="L32" t="str">
        <f>入力!P32</f>
        <v/>
      </c>
      <c r="M32" s="22" t="str">
        <f>IF(入力!J32="","",$B$3+$B$15*(K32-$B$2))</f>
        <v/>
      </c>
      <c r="N32" t="str">
        <f>IF(入力!J32="","",IF(M32&lt;-入力!$H$19,-入力!$D$12,IF(M32&gt;入力!$H$19,入力!$D$12,入力!$D$17*M32)))</f>
        <v/>
      </c>
      <c r="O32" t="str">
        <f>IF(入力!J32="","",L32*N32)</f>
        <v/>
      </c>
      <c r="P32" t="str">
        <f>IF(入力!J32="","",O32*(入力!$D$3/2-K32))</f>
        <v/>
      </c>
    </row>
    <row r="33" spans="4:16" x14ac:dyDescent="0.15">
      <c r="D33">
        <f>入力!X33</f>
        <v>1280</v>
      </c>
      <c r="E33" s="63">
        <f>入力!AI33</f>
        <v>145229.36429506881</v>
      </c>
      <c r="F33" s="22">
        <f t="shared" si="0"/>
        <v>-1.2842363798520454E-2</v>
      </c>
      <c r="G33">
        <f>IF(F33&lt;=0,0,IF(F33&lt;=入力!$H$23,入力!$D$24*F33*(1-((F33/入力!$H$23)^(入力!$H$27-1))/入力!$H$27),IF(F33&lt;=入力!$H$26,入力!$H$24-入力!$H$25*(F33-入力!$H$23),0)))</f>
        <v>0</v>
      </c>
      <c r="H33">
        <f t="shared" si="1"/>
        <v>0</v>
      </c>
      <c r="I33">
        <f>H33*(入力!$D$3/2-D33)</f>
        <v>0</v>
      </c>
      <c r="K33" t="str">
        <f>IF(入力!J33="","",入力!J33)</f>
        <v/>
      </c>
      <c r="L33" t="str">
        <f>入力!P33</f>
        <v/>
      </c>
      <c r="M33" s="22" t="str">
        <f>IF(入力!J33="","",$B$3+$B$15*(K33-$B$2))</f>
        <v/>
      </c>
      <c r="N33" t="str">
        <f>IF(入力!J33="","",IF(M33&lt;-入力!$H$19,-入力!$D$12,IF(M33&gt;入力!$H$19,入力!$D$12,入力!$D$17*M33)))</f>
        <v/>
      </c>
      <c r="O33" t="str">
        <f>IF(入力!J33="","",L33*N33)</f>
        <v/>
      </c>
      <c r="P33" t="str">
        <f>IF(入力!J33="","",O33*(入力!$D$3/2-K33))</f>
        <v/>
      </c>
    </row>
    <row r="34" spans="4:16" x14ac:dyDescent="0.15">
      <c r="D34">
        <f>入力!X34</f>
        <v>1320</v>
      </c>
      <c r="E34" s="63">
        <f>入力!AI34</f>
        <v>148000</v>
      </c>
      <c r="F34" s="22">
        <f t="shared" ref="F34:F51" si="2">$B$3+$B$15*(D34-$B$2)</f>
        <v>-1.1548277892550217E-2</v>
      </c>
      <c r="G34">
        <f>IF(F34&lt;=0,0,IF(F34&lt;=入力!$H$23,入力!$D$24*F34*(1-((F34/入力!$H$23)^(入力!$H$27-1))/入力!$H$27),IF(F34&lt;=入力!$H$26,入力!$H$24-入力!$H$25*(F34-入力!$H$23),0)))</f>
        <v>0</v>
      </c>
      <c r="H34">
        <f t="shared" ref="H34:H51" si="3">E34*G34</f>
        <v>0</v>
      </c>
      <c r="I34">
        <f>H34*(入力!$D$3/2-D34)</f>
        <v>0</v>
      </c>
      <c r="K34" t="str">
        <f>IF(入力!J34="","",入力!J34)</f>
        <v/>
      </c>
      <c r="L34" t="str">
        <f>入力!P34</f>
        <v/>
      </c>
      <c r="M34" s="22" t="str">
        <f>IF(入力!J34="","",$B$3+$B$15*(K34-$B$2))</f>
        <v/>
      </c>
      <c r="N34" t="str">
        <f>IF(入力!J34="","",IF(M34&lt;-入力!$H$19,-入力!$D$12,IF(M34&gt;入力!$H$19,入力!$D$12,入力!$D$17*M34)))</f>
        <v/>
      </c>
      <c r="O34" t="str">
        <f>IF(入力!J34="","",L34*N34)</f>
        <v/>
      </c>
      <c r="P34" t="str">
        <f>IF(入力!J34="","",O34*(入力!$D$3/2-K34))</f>
        <v/>
      </c>
    </row>
    <row r="35" spans="4:16" x14ac:dyDescent="0.15">
      <c r="D35">
        <f>入力!X35</f>
        <v>1360</v>
      </c>
      <c r="E35" s="63">
        <f>入力!AI35</f>
        <v>147987.27013196712</v>
      </c>
      <c r="F35" s="22">
        <f t="shared" si="2"/>
        <v>-1.0254191986579973E-2</v>
      </c>
      <c r="G35">
        <f>IF(F35&lt;=0,0,IF(F35&lt;=入力!$H$23,入力!$D$24*F35*(1-((F35/入力!$H$23)^(入力!$H$27-1))/入力!$H$27),IF(F35&lt;=入力!$H$26,入力!$H$24-入力!$H$25*(F35-入力!$H$23),0)))</f>
        <v>0</v>
      </c>
      <c r="H35">
        <f t="shared" si="3"/>
        <v>0</v>
      </c>
      <c r="I35">
        <f>H35*(入力!$D$3/2-D35)</f>
        <v>0</v>
      </c>
      <c r="K35" t="str">
        <f>IF(入力!J35="","",入力!J35)</f>
        <v/>
      </c>
      <c r="L35" t="str">
        <f>入力!P35</f>
        <v/>
      </c>
      <c r="M35" s="22" t="str">
        <f>IF(入力!J35="","",$B$3+$B$15*(K35-$B$2))</f>
        <v/>
      </c>
      <c r="N35" t="str">
        <f>IF(入力!J35="","",IF(M35&lt;-入力!$H$19,-入力!$D$12,IF(M35&gt;入力!$H$19,入力!$D$12,入力!$D$17*M35)))</f>
        <v/>
      </c>
      <c r="O35" t="str">
        <f>IF(入力!J35="","",L35*N35)</f>
        <v/>
      </c>
      <c r="P35" t="str">
        <f>IF(入力!J35="","",O35*(入力!$D$3/2-K35))</f>
        <v/>
      </c>
    </row>
    <row r="36" spans="4:16" x14ac:dyDescent="0.15">
      <c r="D36">
        <f>入力!X36</f>
        <v>1400</v>
      </c>
      <c r="E36" s="63">
        <f>入力!AI36</f>
        <v>146424.32986803289</v>
      </c>
      <c r="F36" s="22">
        <f t="shared" si="2"/>
        <v>-8.9601060806097296E-3</v>
      </c>
      <c r="G36">
        <f>IF(F36&lt;=0,0,IF(F36&lt;=入力!$H$23,入力!$D$24*F36*(1-((F36/入力!$H$23)^(入力!$H$27-1))/入力!$H$27),IF(F36&lt;=入力!$H$26,入力!$H$24-入力!$H$25*(F36-入力!$H$23),0)))</f>
        <v>0</v>
      </c>
      <c r="H36">
        <f t="shared" si="3"/>
        <v>0</v>
      </c>
      <c r="I36">
        <f>H36*(入力!$D$3/2-D36)</f>
        <v>0</v>
      </c>
      <c r="K36" t="str">
        <f>IF(入力!J36="","",入力!J36)</f>
        <v/>
      </c>
      <c r="L36" t="str">
        <f>入力!P36</f>
        <v/>
      </c>
      <c r="M36" s="22" t="str">
        <f>IF(入力!J36="","",$B$3+$B$15*(K36-$B$2))</f>
        <v/>
      </c>
      <c r="N36" t="str">
        <f>IF(入力!J36="","",IF(M36&lt;-入力!$H$19,-入力!$D$12,IF(M36&gt;入力!$H$19,入力!$D$12,入力!$D$17*M36)))</f>
        <v/>
      </c>
      <c r="O36" t="str">
        <f>IF(入力!J36="","",L36*N36)</f>
        <v/>
      </c>
      <c r="P36" t="str">
        <f>IF(入力!J36="","",O36*(入力!$D$3/2-K36))</f>
        <v/>
      </c>
    </row>
    <row r="37" spans="4:16" x14ac:dyDescent="0.15">
      <c r="D37">
        <f>入力!X37</f>
        <v>1440</v>
      </c>
      <c r="E37" s="63">
        <f>入力!AI37</f>
        <v>148000</v>
      </c>
      <c r="F37" s="22">
        <f t="shared" si="2"/>
        <v>-7.666020174639486E-3</v>
      </c>
      <c r="G37">
        <f>IF(F37&lt;=0,0,IF(F37&lt;=入力!$H$23,入力!$D$24*F37*(1-((F37/入力!$H$23)^(入力!$H$27-1))/入力!$H$27),IF(F37&lt;=入力!$H$26,入力!$H$24-入力!$H$25*(F37-入力!$H$23),0)))</f>
        <v>0</v>
      </c>
      <c r="H37">
        <f t="shared" si="3"/>
        <v>0</v>
      </c>
      <c r="I37">
        <f>H37*(入力!$D$3/2-D37)</f>
        <v>0</v>
      </c>
      <c r="K37" t="str">
        <f>IF(入力!J37="","",入力!J37)</f>
        <v/>
      </c>
      <c r="L37" t="str">
        <f>入力!P37</f>
        <v/>
      </c>
      <c r="M37" s="22" t="str">
        <f>IF(入力!J37="","",$B$3+$B$15*(K37-$B$2))</f>
        <v/>
      </c>
      <c r="N37" t="str">
        <f>IF(入力!J37="","",IF(M37&lt;-入力!$H$19,-入力!$D$12,IF(M37&gt;入力!$H$19,入力!$D$12,入力!$D$17*M37)))</f>
        <v/>
      </c>
      <c r="O37" t="str">
        <f>IF(入力!J37="","",L37*N37)</f>
        <v/>
      </c>
      <c r="P37" t="str">
        <f>IF(入力!J37="","",O37*(入力!$D$3/2-K37))</f>
        <v/>
      </c>
    </row>
    <row r="38" spans="4:16" x14ac:dyDescent="0.15">
      <c r="D38">
        <f>入力!X38</f>
        <v>1480</v>
      </c>
      <c r="E38" s="63">
        <f>入力!AI38</f>
        <v>148000</v>
      </c>
      <c r="F38" s="22">
        <f t="shared" si="2"/>
        <v>-6.3719342686692493E-3</v>
      </c>
      <c r="G38">
        <f>IF(F38&lt;=0,0,IF(F38&lt;=入力!$H$23,入力!$D$24*F38*(1-((F38/入力!$H$23)^(入力!$H$27-1))/入力!$H$27),IF(F38&lt;=入力!$H$26,入力!$H$24-入力!$H$25*(F38-入力!$H$23),0)))</f>
        <v>0</v>
      </c>
      <c r="H38">
        <f t="shared" si="3"/>
        <v>0</v>
      </c>
      <c r="I38">
        <f>H38*(入力!$D$3/2-D38)</f>
        <v>0</v>
      </c>
      <c r="K38" t="str">
        <f>IF(入力!J38="","",入力!J38)</f>
        <v/>
      </c>
      <c r="L38" t="str">
        <f>入力!P38</f>
        <v/>
      </c>
      <c r="M38" s="22" t="str">
        <f>IF(入力!J38="","",$B$3+$B$15*(K38-$B$2))</f>
        <v/>
      </c>
      <c r="N38" t="str">
        <f>IF(入力!J38="","",IF(M38&lt;-入力!$H$19,-入力!$D$12,IF(M38&gt;入力!$H$19,入力!$D$12,入力!$D$17*M38)))</f>
        <v/>
      </c>
      <c r="O38" t="str">
        <f>IF(入力!J38="","",L38*N38)</f>
        <v/>
      </c>
      <c r="P38" t="str">
        <f>IF(入力!J38="","",O38*(入力!$D$3/2-K38))</f>
        <v/>
      </c>
    </row>
    <row r="39" spans="4:16" x14ac:dyDescent="0.15">
      <c r="D39">
        <f>入力!X39</f>
        <v>1520</v>
      </c>
      <c r="E39" s="63">
        <f>入力!AI39</f>
        <v>144823.20000000001</v>
      </c>
      <c r="F39" s="22">
        <f t="shared" si="2"/>
        <v>-5.0778483626990056E-3</v>
      </c>
      <c r="G39">
        <f>IF(F39&lt;=0,0,IF(F39&lt;=入力!$H$23,入力!$D$24*F39*(1-((F39/入力!$H$23)^(入力!$H$27-1))/入力!$H$27),IF(F39&lt;=入力!$H$26,入力!$H$24-入力!$H$25*(F39-入力!$H$23),0)))</f>
        <v>0</v>
      </c>
      <c r="H39">
        <f t="shared" si="3"/>
        <v>0</v>
      </c>
      <c r="I39">
        <f>H39*(入力!$D$3/2-D39)</f>
        <v>0</v>
      </c>
      <c r="K39" t="str">
        <f>IF(入力!J39="","",入力!J39)</f>
        <v/>
      </c>
      <c r="L39" t="str">
        <f>入力!P39</f>
        <v/>
      </c>
      <c r="M39" s="22" t="str">
        <f>IF(入力!J39="","",$B$3+$B$15*(K39-$B$2))</f>
        <v/>
      </c>
      <c r="N39" t="str">
        <f>IF(入力!J39="","",IF(M39&lt;-入力!$H$19,-入力!$D$12,IF(M39&gt;入力!$H$19,入力!$D$12,入力!$D$17*M39)))</f>
        <v/>
      </c>
      <c r="O39" t="str">
        <f>IF(入力!J39="","",L39*N39)</f>
        <v/>
      </c>
      <c r="P39" t="str">
        <f>IF(入力!J39="","",O39*(入力!$D$3/2-K39))</f>
        <v/>
      </c>
    </row>
    <row r="40" spans="4:16" x14ac:dyDescent="0.15">
      <c r="D40">
        <f>入力!X40</f>
        <v>1560</v>
      </c>
      <c r="E40" s="63">
        <f>入力!AI40</f>
        <v>148000</v>
      </c>
      <c r="F40" s="22">
        <f t="shared" si="2"/>
        <v>-3.783762456728762E-3</v>
      </c>
      <c r="G40">
        <f>IF(F40&lt;=0,0,IF(F40&lt;=入力!$H$23,入力!$D$24*F40*(1-((F40/入力!$H$23)^(入力!$H$27-1))/入力!$H$27),IF(F40&lt;=入力!$H$26,入力!$H$24-入力!$H$25*(F40-入力!$H$23),0)))</f>
        <v>0</v>
      </c>
      <c r="H40">
        <f t="shared" si="3"/>
        <v>0</v>
      </c>
      <c r="I40">
        <f>H40*(入力!$D$3/2-D40)</f>
        <v>0</v>
      </c>
      <c r="K40" t="str">
        <f>IF(入力!J40="","",入力!J40)</f>
        <v/>
      </c>
      <c r="L40" t="str">
        <f>入力!P40</f>
        <v/>
      </c>
      <c r="M40" s="22" t="str">
        <f>IF(入力!J40="","",$B$3+$B$15*(K40-$B$2))</f>
        <v/>
      </c>
      <c r="N40" t="str">
        <f>IF(入力!J40="","",IF(M40&lt;-入力!$H$19,-入力!$D$12,IF(M40&gt;入力!$H$19,入力!$D$12,入力!$D$17*M40)))</f>
        <v/>
      </c>
      <c r="O40" t="str">
        <f>IF(入力!J40="","",L40*N40)</f>
        <v/>
      </c>
      <c r="P40" t="str">
        <f>IF(入力!J40="","",O40*(入力!$D$3/2-K40))</f>
        <v/>
      </c>
    </row>
    <row r="41" spans="4:16" x14ac:dyDescent="0.15">
      <c r="D41">
        <f>入力!X41</f>
        <v>1600</v>
      </c>
      <c r="E41" s="63">
        <f>入力!AI41</f>
        <v>148000</v>
      </c>
      <c r="F41" s="22">
        <f t="shared" si="2"/>
        <v>-2.4896765507585183E-3</v>
      </c>
      <c r="G41">
        <f>IF(F41&lt;=0,0,IF(F41&lt;=入力!$H$23,入力!$D$24*F41*(1-((F41/入力!$H$23)^(入力!$H$27-1))/入力!$H$27),IF(F41&lt;=入力!$H$26,入力!$H$24-入力!$H$25*(F41-入力!$H$23),0)))</f>
        <v>0</v>
      </c>
      <c r="H41">
        <f t="shared" si="3"/>
        <v>0</v>
      </c>
      <c r="I41">
        <f>H41*(入力!$D$3/2-D41)</f>
        <v>0</v>
      </c>
      <c r="K41" t="str">
        <f>IF(入力!J41="","",入力!J41)</f>
        <v/>
      </c>
      <c r="L41" t="str">
        <f>入力!P41</f>
        <v/>
      </c>
      <c r="M41" s="22" t="str">
        <f>IF(入力!J41="","",$B$3+$B$15*(K41-$B$2))</f>
        <v/>
      </c>
      <c r="N41" t="str">
        <f>IF(入力!J41="","",IF(M41&lt;-入力!$H$19,-入力!$D$12,IF(M41&gt;入力!$H$19,入力!$D$12,入力!$D$17*M41)))</f>
        <v/>
      </c>
      <c r="O41" t="str">
        <f>IF(入力!J41="","",L41*N41)</f>
        <v/>
      </c>
      <c r="P41" t="str">
        <f>IF(入力!J41="","",O41*(入力!$D$3/2-K41))</f>
        <v/>
      </c>
    </row>
    <row r="42" spans="4:16" x14ac:dyDescent="0.15">
      <c r="D42">
        <f>入力!X42</f>
        <v>1640</v>
      </c>
      <c r="E42" s="63">
        <f>入力!AI42</f>
        <v>146424.27779052482</v>
      </c>
      <c r="F42" s="22">
        <f t="shared" si="2"/>
        <v>-1.1955906447882816E-3</v>
      </c>
      <c r="G42">
        <f>IF(F42&lt;=0,0,IF(F42&lt;=入力!$H$23,入力!$D$24*F42*(1-((F42/入力!$H$23)^(入力!$H$27-1))/入力!$H$27),IF(F42&lt;=入力!$H$26,入力!$H$24-入力!$H$25*(F42-入力!$H$23),0)))</f>
        <v>0</v>
      </c>
      <c r="H42">
        <f t="shared" si="3"/>
        <v>0</v>
      </c>
      <c r="I42">
        <f>H42*(入力!$D$3/2-D42)</f>
        <v>0</v>
      </c>
      <c r="K42" t="str">
        <f>IF(入力!J42="","",入力!J42)</f>
        <v/>
      </c>
      <c r="L42" t="str">
        <f>入力!P42</f>
        <v/>
      </c>
      <c r="M42" s="22" t="str">
        <f>IF(入力!J42="","",$B$3+$B$15*(K42-$B$2))</f>
        <v/>
      </c>
      <c r="N42" t="str">
        <f>IF(入力!J42="","",IF(M42&lt;-入力!$H$19,-入力!$D$12,IF(M42&gt;入力!$H$19,入力!$D$12,入力!$D$17*M42)))</f>
        <v/>
      </c>
      <c r="O42" t="str">
        <f>IF(入力!J42="","",L42*N42)</f>
        <v/>
      </c>
      <c r="P42" t="str">
        <f>IF(入力!J42="","",O42*(入力!$D$3/2-K42))</f>
        <v/>
      </c>
    </row>
    <row r="43" spans="4:16" x14ac:dyDescent="0.15">
      <c r="D43">
        <f>入力!X43</f>
        <v>1680</v>
      </c>
      <c r="E43" s="63">
        <f>入力!AI43</f>
        <v>147987.32220947518</v>
      </c>
      <c r="F43" s="22">
        <f t="shared" si="2"/>
        <v>9.8495261181962002E-5</v>
      </c>
      <c r="G43">
        <f>IF(F43&lt;=0,0,IF(F43&lt;=入力!$H$23,入力!$D$24*F43*(1-((F43/入力!$H$23)^(入力!$H$27-1))/入力!$H$27),IF(F43&lt;=入力!$H$26,入力!$H$24-入力!$H$25*(F43-入力!$H$23),0)))</f>
        <v>2.4797533070267455</v>
      </c>
      <c r="H43">
        <f t="shared" si="3"/>
        <v>366972.05164697859</v>
      </c>
      <c r="I43">
        <f>H43*(入力!$D$3/2-D43)</f>
        <v>-249540995.11994544</v>
      </c>
      <c r="K43" t="str">
        <f>IF(入力!J43="","",入力!J43)</f>
        <v/>
      </c>
      <c r="L43" t="str">
        <f>入力!P43</f>
        <v/>
      </c>
      <c r="M43" s="22" t="str">
        <f>IF(入力!J43="","",$B$3+$B$15*(K43-$B$2))</f>
        <v/>
      </c>
      <c r="N43" t="str">
        <f>IF(入力!J43="","",IF(M43&lt;-入力!$H$19,-入力!$D$12,IF(M43&gt;入力!$H$19,入力!$D$12,入力!$D$17*M43)))</f>
        <v/>
      </c>
      <c r="O43" t="str">
        <f>IF(入力!J43="","",L43*N43)</f>
        <v/>
      </c>
      <c r="P43" t="str">
        <f>IF(入力!J43="","",O43*(入力!$D$3/2-K43))</f>
        <v/>
      </c>
    </row>
    <row r="44" spans="4:16" x14ac:dyDescent="0.15">
      <c r="D44">
        <f>入力!X44</f>
        <v>1720</v>
      </c>
      <c r="E44" s="63">
        <f>入力!AI44</f>
        <v>148000</v>
      </c>
      <c r="F44" s="22">
        <f t="shared" si="2"/>
        <v>1.3925811671522056E-3</v>
      </c>
      <c r="G44">
        <f>IF(F44&lt;=0,0,IF(F44&lt;=入力!$H$23,入力!$D$24*F44*(1-((F44/入力!$H$23)^(入力!$H$27-1))/入力!$H$27),IF(F44&lt;=入力!$H$26,入力!$H$24-入力!$H$25*(F44-入力!$H$23),0)))</f>
        <v>22.946818571680296</v>
      </c>
      <c r="H44">
        <f t="shared" si="3"/>
        <v>3396129.1486086841</v>
      </c>
      <c r="I44">
        <f>H44*(入力!$D$3/2-D44)</f>
        <v>-2445212986.9982524</v>
      </c>
      <c r="K44" t="str">
        <f>IF(入力!J44="","",入力!J44)</f>
        <v/>
      </c>
      <c r="L44" t="str">
        <f>入力!P44</f>
        <v/>
      </c>
      <c r="M44" s="22" t="str">
        <f>IF(入力!J44="","",$B$3+$B$15*(K44-$B$2))</f>
        <v/>
      </c>
      <c r="N44" t="str">
        <f>IF(入力!J44="","",IF(M44&lt;-入力!$H$19,-入力!$D$12,IF(M44&gt;入力!$H$19,入力!$D$12,入力!$D$17*M44)))</f>
        <v/>
      </c>
      <c r="O44" t="str">
        <f>IF(入力!J44="","",L44*N44)</f>
        <v/>
      </c>
      <c r="P44" t="str">
        <f>IF(入力!J44="","",O44*(入力!$D$3/2-K44))</f>
        <v/>
      </c>
    </row>
    <row r="45" spans="4:16" x14ac:dyDescent="0.15">
      <c r="D45">
        <f>入力!X45</f>
        <v>1740</v>
      </c>
      <c r="E45" s="63">
        <f>入力!AI45</f>
        <v>136224.35559522378</v>
      </c>
      <c r="F45" s="22">
        <f t="shared" si="2"/>
        <v>2.0396241201373275E-3</v>
      </c>
      <c r="G45">
        <f>IF(F45&lt;=0,0,IF(F45&lt;=入力!$H$23,入力!$D$24*F45*(1-((F45/入力!$H$23)^(入力!$H$27-1))/入力!$H$27),IF(F45&lt;=入力!$H$26,入力!$H$24-入力!$H$25*(F45-入力!$H$23),0)))</f>
        <v>28.331268863267436</v>
      </c>
      <c r="H45">
        <f t="shared" si="3"/>
        <v>3859408.8440936347</v>
      </c>
      <c r="I45">
        <f>H45*(入力!$D$3/2-D45)</f>
        <v>-2855962544.6292896</v>
      </c>
      <c r="K45" t="str">
        <f>IF(入力!J45="","",入力!J45)</f>
        <v/>
      </c>
      <c r="L45" t="str">
        <f>入力!P45</f>
        <v/>
      </c>
      <c r="M45" s="22" t="str">
        <f>IF(入力!J45="","",$B$3+$B$15*(K45-$B$2))</f>
        <v/>
      </c>
      <c r="N45" t="str">
        <f>IF(入力!J45="","",IF(M45&lt;-入力!$H$19,-入力!$D$12,IF(M45&gt;入力!$H$19,入力!$D$12,入力!$D$17*M45)))</f>
        <v/>
      </c>
      <c r="O45" t="str">
        <f>IF(入力!J45="","",L45*N45)</f>
        <v/>
      </c>
      <c r="P45" t="str">
        <f>IF(入力!J45="","",O45*(入力!$D$3/2-K45))</f>
        <v/>
      </c>
    </row>
    <row r="46" spans="4:16" x14ac:dyDescent="0.15">
      <c r="D46">
        <f>入力!X46</f>
        <v>1780</v>
      </c>
      <c r="E46" s="63">
        <f>入力!AI46</f>
        <v>146274.24440477623</v>
      </c>
      <c r="F46" s="22">
        <f t="shared" si="2"/>
        <v>3.3337100261075642E-3</v>
      </c>
      <c r="G46">
        <f>IF(F46&lt;=0,0,IF(F46&lt;=入力!$H$23,入力!$D$24*F46*(1-((F46/入力!$H$23)^(入力!$H$27-1))/入力!$H$27),IF(F46&lt;=入力!$H$26,入力!$H$24-入力!$H$25*(F46-入力!$H$23),0)))</f>
        <v>32.261676545983278</v>
      </c>
      <c r="H46">
        <f t="shared" si="3"/>
        <v>4719052.3599949945</v>
      </c>
      <c r="I46">
        <f>H46*(入力!$D$3/2-D46)</f>
        <v>-3680860840.7960958</v>
      </c>
      <c r="K46" t="str">
        <f>IF(入力!J46="","",入力!J46)</f>
        <v/>
      </c>
      <c r="L46" t="str">
        <f>入力!P46</f>
        <v/>
      </c>
      <c r="M46" s="22" t="str">
        <f>IF(入力!J46="","",$B$3+$B$15*(K46-$B$2))</f>
        <v/>
      </c>
      <c r="N46" t="str">
        <f>IF(入力!J46="","",IF(M46&lt;-入力!$H$19,-入力!$D$12,IF(M46&gt;入力!$H$19,入力!$D$12,入力!$D$17*M46)))</f>
        <v/>
      </c>
      <c r="O46" t="str">
        <f>IF(入力!J46="","",L46*N46)</f>
        <v/>
      </c>
      <c r="P46" t="str">
        <f>IF(入力!J46="","",O46*(入力!$D$3/2-K46))</f>
        <v/>
      </c>
    </row>
    <row r="47" spans="4:16" x14ac:dyDescent="0.15">
      <c r="D47">
        <f>入力!X47</f>
        <v>1820</v>
      </c>
      <c r="E47" s="63">
        <f>入力!AI47</f>
        <v>144852.22671321675</v>
      </c>
      <c r="F47" s="22">
        <f t="shared" si="2"/>
        <v>4.6277959320778078E-3</v>
      </c>
      <c r="G47">
        <f>IF(F47&lt;=0,0,IF(F47&lt;=入力!$H$23,入力!$D$24*F47*(1-((F47/入力!$H$23)^(入力!$H$27-1))/入力!$H$27),IF(F47&lt;=入力!$H$26,入力!$H$24-入力!$H$25*(F47-入力!$H$23),0)))</f>
        <v>27.931364044785326</v>
      </c>
      <c r="H47">
        <f t="shared" si="3"/>
        <v>4045920.2770246346</v>
      </c>
      <c r="I47">
        <f>H47*(入力!$D$3/2-D47)</f>
        <v>-3317654627.1602006</v>
      </c>
      <c r="K47" t="str">
        <f>IF(入力!J47="","",入力!J47)</f>
        <v/>
      </c>
      <c r="L47" t="str">
        <f>入力!P47</f>
        <v/>
      </c>
      <c r="M47" s="22" t="str">
        <f>IF(入力!J47="","",$B$3+$B$15*(K47-$B$2))</f>
        <v/>
      </c>
      <c r="N47" t="str">
        <f>IF(入力!J47="","",IF(M47&lt;-入力!$H$19,-入力!$D$12,IF(M47&gt;入力!$H$19,入力!$D$12,入力!$D$17*M47)))</f>
        <v/>
      </c>
      <c r="O47" t="str">
        <f>IF(入力!J47="","",L47*N47)</f>
        <v/>
      </c>
      <c r="P47" t="str">
        <f>IF(入力!J47="","",O47*(入力!$D$3/2-K47))</f>
        <v/>
      </c>
    </row>
    <row r="48" spans="4:16" x14ac:dyDescent="0.15">
      <c r="D48">
        <f>入力!X48</f>
        <v>1860</v>
      </c>
      <c r="E48" s="63">
        <f>入力!AI48</f>
        <v>15527.573286783241</v>
      </c>
      <c r="F48" s="22">
        <f t="shared" si="2"/>
        <v>5.9218818380480515E-3</v>
      </c>
      <c r="G48">
        <f>IF(F48&lt;=0,0,IF(F48&lt;=入力!$H$23,入力!$D$24*F48*(1-((F48/入力!$H$23)^(入力!$H$27-1))/入力!$H$27),IF(F48&lt;=入力!$H$26,入力!$H$24-入力!$H$25*(F48-入力!$H$23),0)))</f>
        <v>23.601051543587381</v>
      </c>
      <c r="H48">
        <f t="shared" si="3"/>
        <v>366467.05748820183</v>
      </c>
      <c r="I48">
        <f>H48*(入力!$D$3/2-D48)</f>
        <v>-315161669.43985355</v>
      </c>
      <c r="K48" t="str">
        <f>IF(入力!J48="","",入力!J48)</f>
        <v/>
      </c>
      <c r="L48" t="str">
        <f>入力!P48</f>
        <v/>
      </c>
      <c r="M48" s="22" t="str">
        <f>IF(入力!J48="","",$B$3+$B$15*(K48-$B$2))</f>
        <v/>
      </c>
      <c r="N48" t="str">
        <f>IF(入力!J48="","",IF(M48&lt;-入力!$H$19,-入力!$D$12,IF(M48&gt;入力!$H$19,入力!$D$12,入力!$D$17*M48)))</f>
        <v/>
      </c>
      <c r="O48" t="str">
        <f>IF(入力!J48="","",L48*N48)</f>
        <v/>
      </c>
      <c r="P48" t="str">
        <f>IF(入力!J48="","",O48*(入力!$D$3/2-K48))</f>
        <v/>
      </c>
    </row>
    <row r="49" spans="4:16" x14ac:dyDescent="0.15">
      <c r="D49">
        <f>入力!X49</f>
        <v>1900</v>
      </c>
      <c r="E49" s="63">
        <f>入力!AI49</f>
        <v>0</v>
      </c>
      <c r="F49" s="22">
        <f t="shared" si="2"/>
        <v>7.2159677440182951E-3</v>
      </c>
      <c r="G49">
        <f>IF(F49&lt;=0,0,IF(F49&lt;=入力!$H$23,入力!$D$24*F49*(1-((F49/入力!$H$23)^(入力!$H$27-1))/入力!$H$27),IF(F49&lt;=入力!$H$26,入力!$H$24-入力!$H$25*(F49-入力!$H$23),0)))</f>
        <v>19.27073904238943</v>
      </c>
      <c r="H49">
        <f t="shared" si="3"/>
        <v>0</v>
      </c>
      <c r="I49">
        <f>H49*(入力!$D$3/2-D49)</f>
        <v>0</v>
      </c>
      <c r="K49" t="str">
        <f>IF(入力!J49="","",入力!J49)</f>
        <v/>
      </c>
      <c r="L49" t="str">
        <f>入力!P49</f>
        <v/>
      </c>
      <c r="M49" s="22" t="str">
        <f>IF(入力!J49="","",$B$3+$B$15*(K49-$B$2))</f>
        <v/>
      </c>
      <c r="N49" t="str">
        <f>IF(入力!J49="","",IF(M49&lt;-入力!$H$19,-入力!$D$12,IF(M49&gt;入力!$H$19,入力!$D$12,入力!$D$17*M49)))</f>
        <v/>
      </c>
      <c r="O49" t="str">
        <f>IF(入力!J49="","",L49*N49)</f>
        <v/>
      </c>
      <c r="P49" t="str">
        <f>IF(入力!J49="","",O49*(入力!$D$3/2-K49))</f>
        <v/>
      </c>
    </row>
    <row r="50" spans="4:16" x14ac:dyDescent="0.15">
      <c r="D50">
        <f>入力!X50</f>
        <v>1940</v>
      </c>
      <c r="E50" s="63">
        <f>入力!AI50</f>
        <v>0</v>
      </c>
      <c r="F50" s="22">
        <f t="shared" si="2"/>
        <v>8.5100536499885318E-3</v>
      </c>
      <c r="G50">
        <f>IF(F50&lt;=0,0,IF(F50&lt;=入力!$H$23,入力!$D$24*F50*(1-((F50/入力!$H$23)^(入力!$H$27-1))/入力!$H$27),IF(F50&lt;=入力!$H$26,入力!$H$24-入力!$H$25*(F50-入力!$H$23),0)))</f>
        <v>0</v>
      </c>
      <c r="H50">
        <f t="shared" si="3"/>
        <v>0</v>
      </c>
      <c r="I50">
        <f>H50*(入力!$D$3/2-D50)</f>
        <v>0</v>
      </c>
      <c r="K50" t="str">
        <f>IF(入力!J50="","",入力!J50)</f>
        <v/>
      </c>
      <c r="L50" t="str">
        <f>入力!P50</f>
        <v/>
      </c>
      <c r="M50" s="22" t="str">
        <f>IF(入力!J50="","",$B$3+$B$15*(K50-$B$2))</f>
        <v/>
      </c>
      <c r="N50" t="str">
        <f>IF(入力!J50="","",IF(M50&lt;-入力!$H$19,-入力!$D$12,IF(M50&gt;入力!$H$19,入力!$D$12,入力!$D$17*M50)))</f>
        <v/>
      </c>
      <c r="O50" t="str">
        <f>IF(入力!J50="","",L50*N50)</f>
        <v/>
      </c>
      <c r="P50" t="str">
        <f>IF(入力!J50="","",O50*(入力!$D$3/2-K50))</f>
        <v/>
      </c>
    </row>
    <row r="51" spans="4:16" x14ac:dyDescent="0.15">
      <c r="D51">
        <f>入力!X51</f>
        <v>1980</v>
      </c>
      <c r="E51" s="63">
        <f>入力!AI51</f>
        <v>0</v>
      </c>
      <c r="F51" s="22">
        <f t="shared" si="2"/>
        <v>9.8041395559587755E-3</v>
      </c>
      <c r="G51">
        <f>IF(F51&lt;=0,0,IF(F51&lt;=入力!$H$23,入力!$D$24*F51*(1-((F51/入力!$H$23)^(入力!$H$27-1))/入力!$H$27),IF(F51&lt;=入力!$H$26,入力!$H$24-入力!$H$25*(F51-入力!$H$23),0)))</f>
        <v>0</v>
      </c>
      <c r="H51">
        <f t="shared" si="3"/>
        <v>0</v>
      </c>
      <c r="I51">
        <f>H51*(入力!$D$3/2-D51)</f>
        <v>0</v>
      </c>
      <c r="K51" t="str">
        <f>IF(入力!J51="","",入力!J51)</f>
        <v/>
      </c>
      <c r="L51" t="str">
        <f>入力!P51</f>
        <v/>
      </c>
      <c r="M51" s="22" t="str">
        <f>IF(入力!J51="","",$B$3+$B$15*(K51-$B$2))</f>
        <v/>
      </c>
      <c r="N51" t="str">
        <f>IF(入力!J51="","",IF(M51&lt;-入力!$H$19,-入力!$D$12,IF(M51&gt;入力!$H$19,入力!$D$12,入力!$D$17*M51)))</f>
        <v/>
      </c>
      <c r="O51" t="str">
        <f>IF(入力!J51="","",L51*N51)</f>
        <v/>
      </c>
      <c r="P51" t="str">
        <f>IF(入力!J51="","",O51*(入力!$D$3/2-K51))</f>
        <v/>
      </c>
    </row>
  </sheetData>
  <phoneticPr fontId="3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B20" sqref="B20"/>
    </sheetView>
  </sheetViews>
  <sheetFormatPr defaultColWidth="8.875" defaultRowHeight="13.5" x14ac:dyDescent="0.15"/>
  <cols>
    <col min="1" max="1" width="16" style="7" customWidth="1"/>
    <col min="2" max="2" width="17.125" bestFit="1" customWidth="1"/>
    <col min="6" max="6" width="11" bestFit="1" customWidth="1"/>
    <col min="10" max="10" width="3.375" customWidth="1"/>
    <col min="13" max="13" width="11" bestFit="1" customWidth="1"/>
    <col min="15" max="15" width="9.5" bestFit="1" customWidth="1"/>
    <col min="16" max="16" width="11.25" customWidth="1"/>
  </cols>
  <sheetData>
    <row r="1" spans="1:16" ht="60.75" customHeight="1" x14ac:dyDescent="0.15">
      <c r="A1" s="34" t="s">
        <v>117</v>
      </c>
      <c r="B1" s="33" t="s">
        <v>260</v>
      </c>
      <c r="D1" s="17" t="s">
        <v>83</v>
      </c>
      <c r="E1" s="17" t="s">
        <v>85</v>
      </c>
      <c r="F1" s="17" t="s">
        <v>86</v>
      </c>
      <c r="G1" s="17" t="s">
        <v>87</v>
      </c>
      <c r="H1" s="17" t="s">
        <v>88</v>
      </c>
      <c r="I1" s="17" t="s">
        <v>254</v>
      </c>
      <c r="K1" s="17" t="s">
        <v>249</v>
      </c>
      <c r="L1" s="17" t="s">
        <v>250</v>
      </c>
      <c r="M1" s="17" t="s">
        <v>86</v>
      </c>
      <c r="N1" s="17" t="s">
        <v>251</v>
      </c>
      <c r="O1" s="17" t="s">
        <v>252</v>
      </c>
      <c r="P1" s="17" t="s">
        <v>253</v>
      </c>
    </row>
    <row r="2" spans="1:16" x14ac:dyDescent="0.15">
      <c r="A2" s="26" t="s">
        <v>72</v>
      </c>
      <c r="B2" s="35">
        <f>入力!D3-入力!D18</f>
        <v>1850</v>
      </c>
      <c r="C2" s="26" t="s">
        <v>13</v>
      </c>
      <c r="D2">
        <f>入力!X2</f>
        <v>20</v>
      </c>
      <c r="E2" s="63">
        <f>入力!AI2</f>
        <v>148000</v>
      </c>
      <c r="F2" s="22">
        <f t="shared" ref="F2:F33" si="0">$B$3+$B$15*(D2-$B$2)</f>
        <v>-7.5947564662189382E-2</v>
      </c>
      <c r="G2">
        <f>IF(F2&lt;=0,0,IF(F2&lt;=入力!$H$23,入力!$D$24*F2*(1-((F2/入力!$H$23)^(入力!$H$27-1))/入力!$H$27),IF(F2&lt;=入力!$H$26,入力!$H$24-入力!$H$25*(F2-入力!$H$23),0)))</f>
        <v>0</v>
      </c>
      <c r="H2">
        <f t="shared" ref="H2:H33" si="1">E2*G2</f>
        <v>0</v>
      </c>
      <c r="I2">
        <f>H2*(入力!$D$3/2-D2)</f>
        <v>0</v>
      </c>
      <c r="K2">
        <f>IF(入力!J2="","",入力!J2)</f>
        <v>150</v>
      </c>
      <c r="L2">
        <f>入力!P2</f>
        <v>24620.2</v>
      </c>
      <c r="M2" s="22">
        <f>IF(入力!J2="","",$B$3+$B$15*(K2-$B$2))</f>
        <v>-6.9973408845947882E-2</v>
      </c>
      <c r="N2">
        <f>IF(入力!J2="","",IF(M2&lt;-入力!$H$19,-入力!$D$12,IF(M2&gt;入力!$H$19,入力!$D$12,入力!$D$17*M2)))</f>
        <v>-345</v>
      </c>
      <c r="O2">
        <f>IF(入力!J2="","",L2*N2)</f>
        <v>-8493969</v>
      </c>
      <c r="P2">
        <f>IF(入力!J2="","",O2*(入力!$D$3/2-K2))</f>
        <v>-7219873650</v>
      </c>
    </row>
    <row r="3" spans="1:16" x14ac:dyDescent="0.15">
      <c r="A3" s="26" t="s">
        <v>126</v>
      </c>
      <c r="B3" s="27">
        <f>入力!H26</f>
        <v>8.1501672125947524E-3</v>
      </c>
      <c r="C3" s="28"/>
      <c r="D3">
        <f>入力!X3</f>
        <v>60</v>
      </c>
      <c r="E3" s="63">
        <f>入力!AI3</f>
        <v>148000</v>
      </c>
      <c r="F3" s="22">
        <f t="shared" si="0"/>
        <v>-7.4109362872576606E-2</v>
      </c>
      <c r="G3">
        <f>IF(F3&lt;=0,0,IF(F3&lt;=入力!$H$23,入力!$D$24*F3*(1-((F3/入力!$H$23)^(入力!$H$27-1))/入力!$H$27),IF(F3&lt;=入力!$H$26,入力!$H$24-入力!$H$25*(F3-入力!$H$23),0)))</f>
        <v>0</v>
      </c>
      <c r="H3">
        <f t="shared" si="1"/>
        <v>0</v>
      </c>
      <c r="I3">
        <f>H3*(入力!$D$3/2-D3)</f>
        <v>0</v>
      </c>
      <c r="K3">
        <f>IF(入力!J3="","",入力!J3)</f>
        <v>250</v>
      </c>
      <c r="L3">
        <f>入力!P3</f>
        <v>13501.400000000001</v>
      </c>
      <c r="M3" s="22">
        <f>IF(入力!J3="","",$B$3+$B$15*(K3-$B$2))</f>
        <v>-6.5377904371915957E-2</v>
      </c>
      <c r="N3">
        <f>IF(入力!J3="","",IF(M3&lt;-入力!$H$19,-入力!$D$12,IF(M3&gt;入力!$H$19,入力!$D$12,入力!$D$17*M3)))</f>
        <v>-345</v>
      </c>
      <c r="O3">
        <f>IF(入力!J3="","",L3*N3)</f>
        <v>-4657983.0000000009</v>
      </c>
      <c r="P3">
        <f>IF(入力!J3="","",O3*(入力!$D$3/2-K3))</f>
        <v>-3493487250.0000005</v>
      </c>
    </row>
    <row r="4" spans="1:16" x14ac:dyDescent="0.15">
      <c r="A4" s="26" t="s">
        <v>125</v>
      </c>
      <c r="B4" s="28">
        <f>(SUM(H2:H51)+SUM(O2:O51))/1000</f>
        <v>8000.0000067598075</v>
      </c>
      <c r="C4" s="28" t="s">
        <v>75</v>
      </c>
      <c r="D4">
        <f>入力!X4</f>
        <v>100</v>
      </c>
      <c r="E4" s="63">
        <f>入力!AI4</f>
        <v>148000</v>
      </c>
      <c r="F4" s="22">
        <f t="shared" si="0"/>
        <v>-7.2271161082963845E-2</v>
      </c>
      <c r="G4">
        <f>IF(F4&lt;=0,0,IF(F4&lt;=入力!$H$23,入力!$D$24*F4*(1-((F4/入力!$H$23)^(入力!$H$27-1))/入力!$H$27),IF(F4&lt;=入力!$H$26,入力!$H$24-入力!$H$25*(F4-入力!$H$23),0)))</f>
        <v>0</v>
      </c>
      <c r="H4">
        <f t="shared" si="1"/>
        <v>0</v>
      </c>
      <c r="I4">
        <f>H4*(入力!$D$3/2-D4)</f>
        <v>0</v>
      </c>
      <c r="K4">
        <f>IF(入力!J4="","",入力!J4)</f>
        <v>375</v>
      </c>
      <c r="L4">
        <f>入力!P4</f>
        <v>1588.4</v>
      </c>
      <c r="M4" s="22">
        <f>IF(入力!J4="","",$B$3+$B$15*(K4-$B$2))</f>
        <v>-5.9633523779376051E-2</v>
      </c>
      <c r="N4">
        <f>IF(入力!J4="","",IF(M4&lt;-入力!$H$19,-入力!$D$12,IF(M4&gt;入力!$H$19,入力!$D$12,入力!$D$17*M4)))</f>
        <v>-345</v>
      </c>
      <c r="O4">
        <f>IF(入力!J4="","",L4*N4)</f>
        <v>-547998</v>
      </c>
      <c r="P4">
        <f>IF(入力!J4="","",O4*(入力!$D$3/2-K4))</f>
        <v>-342498750</v>
      </c>
    </row>
    <row r="5" spans="1:16" x14ac:dyDescent="0.15">
      <c r="A5" s="28" t="s">
        <v>73</v>
      </c>
      <c r="B5" s="28">
        <f>入力!H7</f>
        <v>8000</v>
      </c>
      <c r="C5" s="28" t="s">
        <v>75</v>
      </c>
      <c r="D5">
        <f>入力!X5</f>
        <v>140</v>
      </c>
      <c r="E5" s="63">
        <f>入力!AI5</f>
        <v>126526.76608540813</v>
      </c>
      <c r="F5" s="22">
        <f t="shared" si="0"/>
        <v>-7.0432959293351069E-2</v>
      </c>
      <c r="G5">
        <f>IF(F5&lt;=0,0,IF(F5&lt;=入力!$H$23,入力!$D$24*F5*(1-((F5/入力!$H$23)^(入力!$H$27-1))/入力!$H$27),IF(F5&lt;=入力!$H$26,入力!$H$24-入力!$H$25*(F5-入力!$H$23),0)))</f>
        <v>0</v>
      </c>
      <c r="H5">
        <f t="shared" si="1"/>
        <v>0</v>
      </c>
      <c r="I5">
        <f>H5*(入力!$D$3/2-D5)</f>
        <v>0</v>
      </c>
      <c r="K5">
        <f>IF(入力!J5="","",入力!J5)</f>
        <v>500</v>
      </c>
      <c r="L5">
        <f>入力!P5</f>
        <v>3176.8</v>
      </c>
      <c r="M5" s="22">
        <f>IF(入力!J5="","",$B$3+$B$15*(K5-$B$2))</f>
        <v>-5.3889143186836158E-2</v>
      </c>
      <c r="N5">
        <f>IF(入力!J5="","",IF(M5&lt;-入力!$H$19,-入力!$D$12,IF(M5&gt;入力!$H$19,入力!$D$12,入力!$D$17*M5)))</f>
        <v>-345</v>
      </c>
      <c r="O5">
        <f>IF(入力!J5="","",L5*N5)</f>
        <v>-1095996</v>
      </c>
      <c r="P5">
        <f>IF(入力!J5="","",O5*(入力!$D$3/2-K5))</f>
        <v>-547998000</v>
      </c>
    </row>
    <row r="6" spans="1:16" ht="14.25" thickBot="1" x14ac:dyDescent="0.2">
      <c r="D6">
        <f>入力!X6</f>
        <v>180</v>
      </c>
      <c r="E6" s="63">
        <f>入力!AI6</f>
        <v>144853.03391459188</v>
      </c>
      <c r="F6" s="22">
        <f t="shared" si="0"/>
        <v>-6.8594757503738307E-2</v>
      </c>
      <c r="G6">
        <f>IF(F6&lt;=0,0,IF(F6&lt;=入力!$H$23,入力!$D$24*F6*(1-((F6/入力!$H$23)^(入力!$H$27-1))/入力!$H$27),IF(F6&lt;=入力!$H$26,入力!$H$24-入力!$H$25*(F6-入力!$H$23),0)))</f>
        <v>0</v>
      </c>
      <c r="H6">
        <f t="shared" si="1"/>
        <v>0</v>
      </c>
      <c r="I6">
        <f>H6*(入力!$D$3/2-D6)</f>
        <v>0</v>
      </c>
      <c r="K6">
        <f>IF(入力!J6="","",入力!J6)</f>
        <v>625</v>
      </c>
      <c r="L6">
        <f>入力!P6</f>
        <v>1588.4</v>
      </c>
      <c r="M6" s="22">
        <f>IF(入力!J6="","",$B$3+$B$15*(K6-$B$2))</f>
        <v>-4.8144762594296259E-2</v>
      </c>
      <c r="N6">
        <f>IF(入力!J6="","",IF(M6&lt;-入力!$H$19,-入力!$D$12,IF(M6&gt;入力!$H$19,入力!$D$12,入力!$D$17*M6)))</f>
        <v>-345</v>
      </c>
      <c r="O6">
        <f>IF(入力!J6="","",L6*N6)</f>
        <v>-547998</v>
      </c>
      <c r="P6">
        <f>IF(入力!J6="","",O6*(入力!$D$3/2-K6))</f>
        <v>-205499250</v>
      </c>
    </row>
    <row r="7" spans="1:16" ht="14.25" thickBot="1" x14ac:dyDescent="0.2">
      <c r="A7" s="7" t="s">
        <v>82</v>
      </c>
      <c r="B7" s="16">
        <f>B4-B5</f>
        <v>6.7598075474961661E-6</v>
      </c>
      <c r="D7">
        <f>入力!X7</f>
        <v>220</v>
      </c>
      <c r="E7" s="63">
        <f>入力!AI7</f>
        <v>146273.80174595758</v>
      </c>
      <c r="F7" s="22">
        <f t="shared" si="0"/>
        <v>-6.6756555714125532E-2</v>
      </c>
      <c r="G7">
        <f>IF(F7&lt;=0,0,IF(F7&lt;=入力!$H$23,入力!$D$24*F7*(1-((F7/入力!$H$23)^(入力!$H$27-1))/入力!$H$27),IF(F7&lt;=入力!$H$26,入力!$H$24-入力!$H$25*(F7-入力!$H$23),0)))</f>
        <v>0</v>
      </c>
      <c r="H7">
        <f t="shared" si="1"/>
        <v>0</v>
      </c>
      <c r="I7">
        <f>H7*(入力!$D$3/2-D7)</f>
        <v>0</v>
      </c>
      <c r="K7">
        <f>IF(入力!J7="","",入力!J7)</f>
        <v>750</v>
      </c>
      <c r="L7">
        <f>入力!P7</f>
        <v>3176.8</v>
      </c>
      <c r="M7" s="22">
        <f>IF(入力!J7="","",$B$3+$B$15*(K7-$B$2))</f>
        <v>-4.2400382001756359E-2</v>
      </c>
      <c r="N7">
        <f>IF(入力!J7="","",IF(M7&lt;-入力!$H$19,-入力!$D$12,IF(M7&gt;入力!$H$19,入力!$D$12,入力!$D$17*M7)))</f>
        <v>-345</v>
      </c>
      <c r="O7">
        <f>IF(入力!J7="","",L7*N7)</f>
        <v>-1095996</v>
      </c>
      <c r="P7">
        <f>IF(入力!J7="","",O7*(入力!$D$3/2-K7))</f>
        <v>-273999000</v>
      </c>
    </row>
    <row r="8" spans="1:16" x14ac:dyDescent="0.15">
      <c r="A8" s="7" t="s">
        <v>128</v>
      </c>
      <c r="D8">
        <f>入力!X8</f>
        <v>260</v>
      </c>
      <c r="E8" s="63">
        <f>入力!AI8</f>
        <v>136224.79825404243</v>
      </c>
      <c r="F8" s="22">
        <f t="shared" si="0"/>
        <v>-6.491835392451277E-2</v>
      </c>
      <c r="G8">
        <f>IF(F8&lt;=0,0,IF(F8&lt;=入力!$H$23,入力!$D$24*F8*(1-((F8/入力!$H$23)^(入力!$H$27-1))/入力!$H$27),IF(F8&lt;=入力!$H$26,入力!$H$24-入力!$H$25*(F8-入力!$H$23),0)))</f>
        <v>0</v>
      </c>
      <c r="H8">
        <f t="shared" si="1"/>
        <v>0</v>
      </c>
      <c r="I8">
        <f>H8*(入力!$D$3/2-D8)</f>
        <v>0</v>
      </c>
      <c r="K8">
        <f>IF(入力!J8="","",入力!J8)</f>
        <v>875</v>
      </c>
      <c r="L8">
        <f>入力!P8</f>
        <v>1588.4</v>
      </c>
      <c r="M8" s="22">
        <f>IF(入力!J8="","",$B$3+$B$15*(K8-$B$2))</f>
        <v>-3.665600140921646E-2</v>
      </c>
      <c r="N8">
        <f>IF(入力!J8="","",IF(M8&lt;-入力!$H$19,-入力!$D$12,IF(M8&gt;入力!$H$19,入力!$D$12,入力!$D$17*M8)))</f>
        <v>-345</v>
      </c>
      <c r="O8">
        <f>IF(入力!J8="","",L8*N8)</f>
        <v>-547998</v>
      </c>
      <c r="P8">
        <f>IF(入力!J8="","",O8*(入力!$D$3/2-K8))</f>
        <v>-68499750</v>
      </c>
    </row>
    <row r="9" spans="1:16" x14ac:dyDescent="0.15">
      <c r="A9" t="s">
        <v>122</v>
      </c>
      <c r="D9">
        <f>入力!X9</f>
        <v>300</v>
      </c>
      <c r="E9" s="63">
        <f>入力!AI9</f>
        <v>148000</v>
      </c>
      <c r="F9" s="22">
        <f t="shared" si="0"/>
        <v>-6.3080152134900008E-2</v>
      </c>
      <c r="G9">
        <f>IF(F9&lt;=0,0,IF(F9&lt;=入力!$H$23,入力!$D$24*F9*(1-((F9/入力!$H$23)^(入力!$H$27-1))/入力!$H$27),IF(F9&lt;=入力!$H$26,入力!$H$24-入力!$H$25*(F9-入力!$H$23),0)))</f>
        <v>0</v>
      </c>
      <c r="H9">
        <f t="shared" si="1"/>
        <v>0</v>
      </c>
      <c r="I9">
        <f>H9*(入力!$D$3/2-D9)</f>
        <v>0</v>
      </c>
      <c r="K9">
        <f>IF(入力!J9="","",入力!J9)</f>
        <v>1000</v>
      </c>
      <c r="L9">
        <f>入力!P9</f>
        <v>3176.8</v>
      </c>
      <c r="M9" s="22">
        <f>IF(入力!J9="","",$B$3+$B$15*(K9-$B$2))</f>
        <v>-3.091162081667656E-2</v>
      </c>
      <c r="N9">
        <f>IF(入力!J9="","",IF(M9&lt;-入力!$H$19,-入力!$D$12,IF(M9&gt;入力!$H$19,入力!$D$12,入力!$D$17*M9)))</f>
        <v>-345</v>
      </c>
      <c r="O9">
        <f>IF(入力!J9="","",L9*N9)</f>
        <v>-1095996</v>
      </c>
      <c r="P9">
        <f>IF(入力!J9="","",O9*(入力!$D$3/2-K9))</f>
        <v>0</v>
      </c>
    </row>
    <row r="10" spans="1:16" x14ac:dyDescent="0.15">
      <c r="A10" t="s">
        <v>90</v>
      </c>
      <c r="D10">
        <f>入力!X10</f>
        <v>340</v>
      </c>
      <c r="E10" s="63">
        <f>入力!AI10</f>
        <v>147987.27013196712</v>
      </c>
      <c r="F10" s="22">
        <f t="shared" si="0"/>
        <v>-6.1241950345287226E-2</v>
      </c>
      <c r="G10">
        <f>IF(F10&lt;=0,0,IF(F10&lt;=入力!$H$23,入力!$D$24*F10*(1-((F10/入力!$H$23)^(入力!$H$27-1))/入力!$H$27),IF(F10&lt;=入力!$H$26,入力!$H$24-入力!$H$25*(F10-入力!$H$23),0)))</f>
        <v>0</v>
      </c>
      <c r="H10">
        <f t="shared" si="1"/>
        <v>0</v>
      </c>
      <c r="I10">
        <f>H10*(入力!$D$3/2-D10)</f>
        <v>0</v>
      </c>
      <c r="K10">
        <f>IF(入力!J10="","",入力!J10)</f>
        <v>1125</v>
      </c>
      <c r="L10">
        <f>入力!P10</f>
        <v>1588.4</v>
      </c>
      <c r="M10" s="22">
        <f>IF(入力!J10="","",$B$3+$B$15*(K10-$B$2))</f>
        <v>-2.5167240224136661E-2</v>
      </c>
      <c r="N10">
        <f>IF(入力!J10="","",IF(M10&lt;-入力!$H$19,-入力!$D$12,IF(M10&gt;入力!$H$19,入力!$D$12,入力!$D$17*M10)))</f>
        <v>-345</v>
      </c>
      <c r="O10">
        <f>IF(入力!J10="","",L10*N10)</f>
        <v>-547998</v>
      </c>
      <c r="P10">
        <f>IF(入力!J10="","",O10*(入力!$D$3/2-K10))</f>
        <v>68499750</v>
      </c>
    </row>
    <row r="11" spans="1:16" x14ac:dyDescent="0.15">
      <c r="A11" t="s">
        <v>123</v>
      </c>
      <c r="D11">
        <f>入力!X11</f>
        <v>380</v>
      </c>
      <c r="E11" s="63">
        <f>入力!AI11</f>
        <v>146424.32986803289</v>
      </c>
      <c r="F11" s="22">
        <f t="shared" si="0"/>
        <v>-5.9403748555674464E-2</v>
      </c>
      <c r="G11">
        <f>IF(F11&lt;=0,0,IF(F11&lt;=入力!$H$23,入力!$D$24*F11*(1-((F11/入力!$H$23)^(入力!$H$27-1))/入力!$H$27),IF(F11&lt;=入力!$H$26,入力!$H$24-入力!$H$25*(F11-入力!$H$23),0)))</f>
        <v>0</v>
      </c>
      <c r="H11">
        <f t="shared" si="1"/>
        <v>0</v>
      </c>
      <c r="I11">
        <f>H11*(入力!$D$3/2-D11)</f>
        <v>0</v>
      </c>
      <c r="K11">
        <f>IF(入力!J11="","",入力!J11)</f>
        <v>1250</v>
      </c>
      <c r="L11">
        <f>入力!P11</f>
        <v>3176.8</v>
      </c>
      <c r="M11" s="22">
        <f>IF(入力!J11="","",$B$3+$B$15*(K11-$B$2))</f>
        <v>-1.9422859631596762E-2</v>
      </c>
      <c r="N11">
        <f>IF(入力!J11="","",IF(M11&lt;-入力!$H$19,-入力!$D$12,IF(M11&gt;入力!$H$19,入力!$D$12,入力!$D$17*M11)))</f>
        <v>-345</v>
      </c>
      <c r="O11">
        <f>IF(入力!J11="","",L11*N11)</f>
        <v>-1095996</v>
      </c>
      <c r="P11">
        <f>IF(入力!J11="","",O11*(入力!$D$3/2-K11))</f>
        <v>273999000</v>
      </c>
    </row>
    <row r="12" spans="1:16" x14ac:dyDescent="0.15">
      <c r="A12" t="s">
        <v>91</v>
      </c>
      <c r="D12">
        <f>入力!X12</f>
        <v>420</v>
      </c>
      <c r="E12" s="63">
        <f>入力!AI12</f>
        <v>148000</v>
      </c>
      <c r="F12" s="22">
        <f t="shared" si="0"/>
        <v>-5.7565546766061688E-2</v>
      </c>
      <c r="G12">
        <f>IF(F12&lt;=0,0,IF(F12&lt;=入力!$H$23,入力!$D$24*F12*(1-((F12/入力!$H$23)^(入力!$H$27-1))/入力!$H$27),IF(F12&lt;=入力!$H$26,入力!$H$24-入力!$H$25*(F12-入力!$H$23),0)))</f>
        <v>0</v>
      </c>
      <c r="H12">
        <f t="shared" si="1"/>
        <v>0</v>
      </c>
      <c r="I12">
        <f>H12*(入力!$D$3/2-D12)</f>
        <v>0</v>
      </c>
      <c r="K12">
        <f>IF(入力!J12="","",入力!J12)</f>
        <v>1375</v>
      </c>
      <c r="L12">
        <f>入力!P12</f>
        <v>1588.4</v>
      </c>
      <c r="M12" s="22">
        <f>IF(入力!J12="","",$B$3+$B$15*(K12-$B$2))</f>
        <v>-1.3678479039056864E-2</v>
      </c>
      <c r="N12">
        <f>IF(入力!J12="","",IF(M12&lt;-入力!$H$19,-入力!$D$12,IF(M12&gt;入力!$H$19,入力!$D$12,入力!$D$17*M12)))</f>
        <v>-345</v>
      </c>
      <c r="O12">
        <f>IF(入力!J12="","",L12*N12)</f>
        <v>-547998</v>
      </c>
      <c r="P12">
        <f>IF(入力!J12="","",O12*(入力!$D$3/2-K12))</f>
        <v>205499250</v>
      </c>
    </row>
    <row r="13" spans="1:16" x14ac:dyDescent="0.15">
      <c r="A13" s="7" t="s">
        <v>124</v>
      </c>
      <c r="D13">
        <f>入力!X13</f>
        <v>460</v>
      </c>
      <c r="E13" s="63">
        <f>入力!AI13</f>
        <v>148000</v>
      </c>
      <c r="F13" s="22">
        <f t="shared" si="0"/>
        <v>-5.5727344976448927E-2</v>
      </c>
      <c r="G13">
        <f>IF(F13&lt;=0,0,IF(F13&lt;=入力!$H$23,入力!$D$24*F13*(1-((F13/入力!$H$23)^(入力!$H$27-1))/入力!$H$27),IF(F13&lt;=入力!$H$26,入力!$H$24-入力!$H$25*(F13-入力!$H$23),0)))</f>
        <v>0</v>
      </c>
      <c r="H13">
        <f t="shared" si="1"/>
        <v>0</v>
      </c>
      <c r="I13">
        <f>H13*(入力!$D$3/2-D13)</f>
        <v>0</v>
      </c>
      <c r="K13">
        <f>IF(入力!J13="","",入力!J13)</f>
        <v>1500</v>
      </c>
      <c r="L13">
        <f>入力!P13</f>
        <v>3176.8</v>
      </c>
      <c r="M13" s="22">
        <f>IF(入力!J13="","",$B$3+$B$15*(K13-$B$2))</f>
        <v>-7.9340984465169646E-3</v>
      </c>
      <c r="N13">
        <f>IF(入力!J13="","",IF(M13&lt;-入力!$H$19,-入力!$D$12,IF(M13&gt;入力!$H$19,入力!$D$12,入力!$D$17*M13)))</f>
        <v>-345</v>
      </c>
      <c r="O13">
        <f>IF(入力!J13="","",L13*N13)</f>
        <v>-1095996</v>
      </c>
      <c r="P13">
        <f>IF(入力!J13="","",O13*(入力!$D$3/2-K13))</f>
        <v>547998000</v>
      </c>
    </row>
    <row r="14" spans="1:16" x14ac:dyDescent="0.15">
      <c r="B14" t="s">
        <v>159</v>
      </c>
      <c r="D14">
        <f>入力!X14</f>
        <v>500</v>
      </c>
      <c r="E14" s="63">
        <f>入力!AI14</f>
        <v>144823.20000000001</v>
      </c>
      <c r="F14" s="22">
        <f t="shared" si="0"/>
        <v>-5.3889143186836158E-2</v>
      </c>
      <c r="G14">
        <f>IF(F14&lt;=0,0,IF(F14&lt;=入力!$H$23,入力!$D$24*F14*(1-((F14/入力!$H$23)^(入力!$H$27-1))/入力!$H$27),IF(F14&lt;=入力!$H$26,入力!$H$24-入力!$H$25*(F14-入力!$H$23),0)))</f>
        <v>0</v>
      </c>
      <c r="H14">
        <f t="shared" si="1"/>
        <v>0</v>
      </c>
      <c r="I14">
        <f>H14*(入力!$D$3/2-D14)</f>
        <v>0</v>
      </c>
      <c r="K14">
        <f>IF(入力!J14="","",入力!J14)</f>
        <v>1625</v>
      </c>
      <c r="L14">
        <f>入力!P14</f>
        <v>1588.4</v>
      </c>
      <c r="M14" s="22">
        <f>IF(入力!J14="","",$B$3+$B$15*(K14-$B$2))</f>
        <v>-2.1897178539770669E-3</v>
      </c>
      <c r="N14">
        <f>IF(入力!J14="","",IF(M14&lt;-入力!$H$19,-入力!$D$12,IF(M14&gt;入力!$H$19,入力!$D$12,入力!$D$17*M14)))</f>
        <v>-345</v>
      </c>
      <c r="O14">
        <f>IF(入力!J14="","",L14*N14)</f>
        <v>-547998</v>
      </c>
      <c r="P14">
        <f>IF(入力!J14="","",O14*(入力!$D$3/2-K14))</f>
        <v>342498750</v>
      </c>
    </row>
    <row r="15" spans="1:16" x14ac:dyDescent="0.15">
      <c r="A15" s="5" t="s">
        <v>39</v>
      </c>
      <c r="B15" s="23">
        <v>4.5955044740319193E-5</v>
      </c>
      <c r="C15" s="24" t="s">
        <v>76</v>
      </c>
      <c r="D15">
        <f>入力!X15</f>
        <v>540</v>
      </c>
      <c r="E15" s="63">
        <f>入力!AI15</f>
        <v>148000</v>
      </c>
      <c r="F15" s="22">
        <f t="shared" si="0"/>
        <v>-5.2050941397223389E-2</v>
      </c>
      <c r="G15">
        <f>IF(F15&lt;=0,0,IF(F15&lt;=入力!$H$23,入力!$D$24*F15*(1-((F15/入力!$H$23)^(入力!$H$27-1))/入力!$H$27),IF(F15&lt;=入力!$H$26,入力!$H$24-入力!$H$25*(F15-入力!$H$23),0)))</f>
        <v>0</v>
      </c>
      <c r="H15">
        <f t="shared" si="1"/>
        <v>0</v>
      </c>
      <c r="I15">
        <f>H15*(入力!$D$3/2-D15)</f>
        <v>0</v>
      </c>
      <c r="K15">
        <f>IF(入力!J15="","",入力!J15)</f>
        <v>1750</v>
      </c>
      <c r="L15">
        <f>入力!P15</f>
        <v>13501.400000000001</v>
      </c>
      <c r="M15" s="22">
        <f>IF(入力!J15="","",$B$3+$B$15*(K15-$B$2))</f>
        <v>3.5546627385628334E-3</v>
      </c>
      <c r="N15">
        <f>IF(入力!J15="","",IF(M15&lt;-入力!$H$19,-入力!$D$12,IF(M15&gt;入力!$H$19,入力!$D$12,入力!$D$17*M15)))</f>
        <v>345</v>
      </c>
      <c r="O15">
        <f>IF(入力!J15="","",L15*N15)</f>
        <v>4657983.0000000009</v>
      </c>
      <c r="P15">
        <f>IF(入力!J15="","",O15*(入力!$D$3/2-K15))</f>
        <v>-3493487250.0000005</v>
      </c>
    </row>
    <row r="16" spans="1:16" x14ac:dyDescent="0.15">
      <c r="A16" s="5" t="s">
        <v>78</v>
      </c>
      <c r="B16" s="25">
        <f>-SUM(I2:I51)-SUM(P2:P51)</f>
        <v>34079025701.44912</v>
      </c>
      <c r="C16" s="4" t="s">
        <v>157</v>
      </c>
      <c r="D16">
        <f>入力!X16</f>
        <v>580</v>
      </c>
      <c r="E16" s="63">
        <f>入力!AI16</f>
        <v>148000</v>
      </c>
      <c r="F16" s="22">
        <f t="shared" si="0"/>
        <v>-5.0212739607610621E-2</v>
      </c>
      <c r="G16">
        <f>IF(F16&lt;=0,0,IF(F16&lt;=入力!$H$23,入力!$D$24*F16*(1-((F16/入力!$H$23)^(入力!$H$27-1))/入力!$H$27),IF(F16&lt;=入力!$H$26,入力!$H$24-入力!$H$25*(F16-入力!$H$23),0)))</f>
        <v>0</v>
      </c>
      <c r="H16">
        <f t="shared" si="1"/>
        <v>0</v>
      </c>
      <c r="I16">
        <f>H16*(入力!$D$3/2-D16)</f>
        <v>0</v>
      </c>
      <c r="K16">
        <f>IF(入力!J16="","",入力!J16)</f>
        <v>1850</v>
      </c>
      <c r="L16">
        <f>入力!P16</f>
        <v>24620.2</v>
      </c>
      <c r="M16" s="22">
        <f>IF(入力!J16="","",$B$3+$B$15*(K16-$B$2))</f>
        <v>8.1501672125947524E-3</v>
      </c>
      <c r="N16">
        <f>IF(入力!J16="","",IF(M16&lt;-入力!$H$19,-入力!$D$12,IF(M16&gt;入力!$H$19,入力!$D$12,入力!$D$17*M16)))</f>
        <v>345</v>
      </c>
      <c r="O16">
        <f>IF(入力!J16="","",L16*N16)</f>
        <v>8493969</v>
      </c>
      <c r="P16">
        <f>IF(入力!J16="","",O16*(入力!$D$3/2-K16))</f>
        <v>-7219873650</v>
      </c>
    </row>
    <row r="17" spans="1:16" x14ac:dyDescent="0.15">
      <c r="A17" s="18"/>
      <c r="B17" s="18"/>
      <c r="D17">
        <f>入力!X17</f>
        <v>620</v>
      </c>
      <c r="E17" s="63">
        <f>入力!AI17</f>
        <v>146424.27779052482</v>
      </c>
      <c r="F17" s="22">
        <f t="shared" si="0"/>
        <v>-4.8374537817997852E-2</v>
      </c>
      <c r="G17">
        <f>IF(F17&lt;=0,0,IF(F17&lt;=入力!$H$23,入力!$D$24*F17*(1-((F17/入力!$H$23)^(入力!$H$27-1))/入力!$H$27),IF(F17&lt;=入力!$H$26,入力!$H$24-入力!$H$25*(F17-入力!$H$23),0)))</f>
        <v>0</v>
      </c>
      <c r="H17">
        <f t="shared" si="1"/>
        <v>0</v>
      </c>
      <c r="I17">
        <f>H17*(入力!$D$3/2-D17)</f>
        <v>0</v>
      </c>
      <c r="K17" t="str">
        <f>IF(入力!J17="","",入力!J17)</f>
        <v/>
      </c>
      <c r="L17" t="str">
        <f>入力!P17</f>
        <v/>
      </c>
      <c r="M17" s="22" t="str">
        <f>IF(入力!J17="","",$B$3+$B$15*(K17-$B$2))</f>
        <v/>
      </c>
      <c r="N17" t="str">
        <f>IF(入力!J17="","",IF(M17&lt;-入力!$H$19,-入力!$D$12,IF(M17&gt;入力!$H$19,入力!$D$12,入力!$D$17*M17)))</f>
        <v/>
      </c>
      <c r="O17" t="str">
        <f>IF(入力!J17="","",L17*N17)</f>
        <v/>
      </c>
      <c r="P17" t="str">
        <f>IF(入力!J17="","",O17*(入力!$D$3/2-K17))</f>
        <v/>
      </c>
    </row>
    <row r="18" spans="1:16" x14ac:dyDescent="0.15">
      <c r="A18" s="18"/>
      <c r="B18" s="18"/>
      <c r="D18">
        <f>入力!X18</f>
        <v>660</v>
      </c>
      <c r="E18" s="63">
        <f>入力!AI18</f>
        <v>147987.32220947518</v>
      </c>
      <c r="F18" s="22">
        <f t="shared" si="0"/>
        <v>-4.6536336028385084E-2</v>
      </c>
      <c r="G18">
        <f>IF(F18&lt;=0,0,IF(F18&lt;=入力!$H$23,入力!$D$24*F18*(1-((F18/入力!$H$23)^(入力!$H$27-1))/入力!$H$27),IF(F18&lt;=入力!$H$26,入力!$H$24-入力!$H$25*(F18-入力!$H$23),0)))</f>
        <v>0</v>
      </c>
      <c r="H18">
        <f t="shared" si="1"/>
        <v>0</v>
      </c>
      <c r="I18">
        <f>H18*(入力!$D$3/2-D18)</f>
        <v>0</v>
      </c>
      <c r="K18" t="str">
        <f>IF(入力!J18="","",入力!J18)</f>
        <v/>
      </c>
      <c r="L18" t="str">
        <f>入力!P18</f>
        <v/>
      </c>
      <c r="M18" s="22" t="str">
        <f>IF(入力!J18="","",$B$3+$B$15*(K18-$B$2))</f>
        <v/>
      </c>
      <c r="N18" t="str">
        <f>IF(入力!J18="","",IF(M18&lt;-入力!$H$19,-入力!$D$12,IF(M18&gt;入力!$H$19,入力!$D$12,入力!$D$17*M18)))</f>
        <v/>
      </c>
      <c r="O18" t="str">
        <f>IF(入力!J18="","",L18*N18)</f>
        <v/>
      </c>
      <c r="P18" t="str">
        <f>IF(入力!J18="","",O18*(入力!$D$3/2-K18))</f>
        <v/>
      </c>
    </row>
    <row r="19" spans="1:16" x14ac:dyDescent="0.15">
      <c r="A19" s="18"/>
      <c r="B19" s="18"/>
      <c r="D19">
        <f>入力!X19</f>
        <v>700</v>
      </c>
      <c r="E19" s="63">
        <f>入力!AI19</f>
        <v>148000</v>
      </c>
      <c r="F19" s="22">
        <f t="shared" si="0"/>
        <v>-4.4698134238772315E-2</v>
      </c>
      <c r="G19">
        <f>IF(F19&lt;=0,0,IF(F19&lt;=入力!$H$23,入力!$D$24*F19*(1-((F19/入力!$H$23)^(入力!$H$27-1))/入力!$H$27),IF(F19&lt;=入力!$H$26,入力!$H$24-入力!$H$25*(F19-入力!$H$23),0)))</f>
        <v>0</v>
      </c>
      <c r="H19">
        <f t="shared" si="1"/>
        <v>0</v>
      </c>
      <c r="I19">
        <f>H19*(入力!$D$3/2-D19)</f>
        <v>0</v>
      </c>
      <c r="K19" t="str">
        <f>IF(入力!J19="","",入力!J19)</f>
        <v/>
      </c>
      <c r="L19" t="str">
        <f>入力!P19</f>
        <v/>
      </c>
      <c r="M19" s="22" t="str">
        <f>IF(入力!J19="","",$B$3+$B$15*(K19-$B$2))</f>
        <v/>
      </c>
      <c r="N19" t="str">
        <f>IF(入力!J19="","",IF(M19&lt;-入力!$H$19,-入力!$D$12,IF(M19&gt;入力!$H$19,入力!$D$12,入力!$D$17*M19)))</f>
        <v/>
      </c>
      <c r="O19" t="str">
        <f>IF(入力!J19="","",L19*N19)</f>
        <v/>
      </c>
      <c r="P19" t="str">
        <f>IF(入力!J19="","",O19*(入力!$D$3/2-K19))</f>
        <v/>
      </c>
    </row>
    <row r="20" spans="1:16" x14ac:dyDescent="0.15">
      <c r="A20" s="18"/>
      <c r="B20" s="18"/>
      <c r="D20">
        <f>入力!X20</f>
        <v>740</v>
      </c>
      <c r="E20" s="63">
        <f>入力!AI20</f>
        <v>145229.26014005265</v>
      </c>
      <c r="F20" s="22">
        <f t="shared" si="0"/>
        <v>-4.2859932449159553E-2</v>
      </c>
      <c r="G20">
        <f>IF(F20&lt;=0,0,IF(F20&lt;=入力!$H$23,入力!$D$24*F20*(1-((F20/入力!$H$23)^(入力!$H$27-1))/入力!$H$27),IF(F20&lt;=入力!$H$26,入力!$H$24-入力!$H$25*(F20-入力!$H$23),0)))</f>
        <v>0</v>
      </c>
      <c r="H20">
        <f t="shared" si="1"/>
        <v>0</v>
      </c>
      <c r="I20">
        <f>H20*(入力!$D$3/2-D20)</f>
        <v>0</v>
      </c>
      <c r="K20" t="str">
        <f>IF(入力!J20="","",入力!J20)</f>
        <v/>
      </c>
      <c r="L20" t="str">
        <f>入力!P20</f>
        <v/>
      </c>
      <c r="M20" s="22" t="str">
        <f>IF(入力!J20="","",$B$3+$B$15*(K20-$B$2))</f>
        <v/>
      </c>
      <c r="N20" t="str">
        <f>IF(入力!J20="","",IF(M20&lt;-入力!$H$19,-入力!$D$12,IF(M20&gt;入力!$H$19,入力!$D$12,入力!$D$17*M20)))</f>
        <v/>
      </c>
      <c r="O20" t="str">
        <f>IF(入力!J20="","",L20*N20)</f>
        <v/>
      </c>
      <c r="P20" t="str">
        <f>IF(入力!J20="","",O20*(入力!$D$3/2-K20))</f>
        <v/>
      </c>
    </row>
    <row r="21" spans="1:16" x14ac:dyDescent="0.15">
      <c r="A21" s="18"/>
      <c r="B21" s="18"/>
      <c r="D21">
        <f>入力!X21</f>
        <v>780</v>
      </c>
      <c r="E21" s="63">
        <f>入力!AI21</f>
        <v>147593.93985994734</v>
      </c>
      <c r="F21" s="22">
        <f t="shared" si="0"/>
        <v>-4.1021730659546785E-2</v>
      </c>
      <c r="G21">
        <f>IF(F21&lt;=0,0,IF(F21&lt;=入力!$H$23,入力!$D$24*F21*(1-((F21/入力!$H$23)^(入力!$H$27-1))/入力!$H$27),IF(F21&lt;=入力!$H$26,入力!$H$24-入力!$H$25*(F21-入力!$H$23),0)))</f>
        <v>0</v>
      </c>
      <c r="H21">
        <f t="shared" si="1"/>
        <v>0</v>
      </c>
      <c r="I21">
        <f>H21*(入力!$D$3/2-D21)</f>
        <v>0</v>
      </c>
      <c r="K21" t="str">
        <f>IF(入力!J21="","",入力!J21)</f>
        <v/>
      </c>
      <c r="L21" t="str">
        <f>入力!P21</f>
        <v/>
      </c>
      <c r="M21" s="22" t="str">
        <f>IF(入力!J21="","",$B$3+$B$15*(K21-$B$2))</f>
        <v/>
      </c>
      <c r="N21" t="str">
        <f>IF(入力!J21="","",IF(M21&lt;-入力!$H$19,-入力!$D$12,IF(M21&gt;入力!$H$19,入力!$D$12,入力!$D$17*M21)))</f>
        <v/>
      </c>
      <c r="O21" t="str">
        <f>IF(入力!J21="","",L21*N21)</f>
        <v/>
      </c>
      <c r="P21" t="str">
        <f>IF(入力!J21="","",O21*(入力!$D$3/2-K21))</f>
        <v/>
      </c>
    </row>
    <row r="22" spans="1:16" x14ac:dyDescent="0.15">
      <c r="A22" s="18"/>
      <c r="B22" s="18"/>
      <c r="D22">
        <f>入力!X22</f>
        <v>820</v>
      </c>
      <c r="E22" s="63">
        <f>入力!AI22</f>
        <v>148000</v>
      </c>
      <c r="F22" s="22">
        <f t="shared" si="0"/>
        <v>-3.9183528869934016E-2</v>
      </c>
      <c r="G22">
        <f>IF(F22&lt;=0,0,IF(F22&lt;=入力!$H$23,入力!$D$24*F22*(1-((F22/入力!$H$23)^(入力!$H$27-1))/入力!$H$27),IF(F22&lt;=入力!$H$26,入力!$H$24-入力!$H$25*(F22-入力!$H$23),0)))</f>
        <v>0</v>
      </c>
      <c r="H22">
        <f t="shared" si="1"/>
        <v>0</v>
      </c>
      <c r="I22">
        <f>H22*(入力!$D$3/2-D22)</f>
        <v>0</v>
      </c>
      <c r="K22" t="str">
        <f>IF(入力!J22="","",入力!J22)</f>
        <v/>
      </c>
      <c r="L22" t="str">
        <f>入力!P22</f>
        <v/>
      </c>
      <c r="M22" s="22" t="str">
        <f>IF(入力!J22="","",$B$3+$B$15*(K22-$B$2))</f>
        <v/>
      </c>
      <c r="N22" t="str">
        <f>IF(入力!J22="","",IF(M22&lt;-入力!$H$19,-入力!$D$12,IF(M22&gt;入力!$H$19,入力!$D$12,入力!$D$17*M22)))</f>
        <v/>
      </c>
      <c r="O22" t="str">
        <f>IF(入力!J22="","",L22*N22)</f>
        <v/>
      </c>
      <c r="P22" t="str">
        <f>IF(入力!J22="","",O22*(入力!$D$3/2-K22))</f>
        <v/>
      </c>
    </row>
    <row r="23" spans="1:16" x14ac:dyDescent="0.15">
      <c r="A23" s="18"/>
      <c r="B23" s="18"/>
      <c r="D23">
        <f>入力!X23</f>
        <v>860</v>
      </c>
      <c r="E23" s="63">
        <f>入力!AI23</f>
        <v>146893.09567954077</v>
      </c>
      <c r="F23" s="22">
        <f t="shared" si="0"/>
        <v>-3.7345327080321247E-2</v>
      </c>
      <c r="G23">
        <f>IF(F23&lt;=0,0,IF(F23&lt;=入力!$H$23,入力!$D$24*F23*(1-((F23/入力!$H$23)^(入力!$H$27-1))/入力!$H$27),IF(F23&lt;=入力!$H$26,入力!$H$24-入力!$H$25*(F23-入力!$H$23),0)))</f>
        <v>0</v>
      </c>
      <c r="H23">
        <f t="shared" si="1"/>
        <v>0</v>
      </c>
      <c r="I23">
        <f>H23*(入力!$D$3/2-D23)</f>
        <v>0</v>
      </c>
      <c r="K23" t="str">
        <f>IF(入力!J23="","",入力!J23)</f>
        <v/>
      </c>
      <c r="L23" t="str">
        <f>入力!P23</f>
        <v/>
      </c>
      <c r="M23" s="22" t="str">
        <f>IF(入力!J23="","",$B$3+$B$15*(K23-$B$2))</f>
        <v/>
      </c>
      <c r="N23" t="str">
        <f>IF(入力!J23="","",IF(M23&lt;-入力!$H$19,-入力!$D$12,IF(M23&gt;入力!$H$19,入力!$D$12,入力!$D$17*M23)))</f>
        <v/>
      </c>
      <c r="O23" t="str">
        <f>IF(入力!J23="","",L23*N23)</f>
        <v/>
      </c>
      <c r="P23" t="str">
        <f>IF(入力!J23="","",O23*(入力!$D$3/2-K23))</f>
        <v/>
      </c>
    </row>
    <row r="24" spans="1:16" x14ac:dyDescent="0.15">
      <c r="A24" s="18"/>
      <c r="B24" s="18"/>
      <c r="D24">
        <f>入力!X24</f>
        <v>900</v>
      </c>
      <c r="E24" s="63">
        <f>入力!AI24</f>
        <v>147518.50432045924</v>
      </c>
      <c r="F24" s="22">
        <f t="shared" si="0"/>
        <v>-3.5507125290708479E-2</v>
      </c>
      <c r="G24">
        <f>IF(F24&lt;=0,0,IF(F24&lt;=入力!$H$23,入力!$D$24*F24*(1-((F24/入力!$H$23)^(入力!$H$27-1))/入力!$H$27),IF(F24&lt;=入力!$H$26,入力!$H$24-入力!$H$25*(F24-入力!$H$23),0)))</f>
        <v>0</v>
      </c>
      <c r="H24">
        <f t="shared" si="1"/>
        <v>0</v>
      </c>
      <c r="I24">
        <f>H24*(入力!$D$3/2-D24)</f>
        <v>0</v>
      </c>
      <c r="K24" t="str">
        <f>IF(入力!J24="","",入力!J24)</f>
        <v/>
      </c>
      <c r="L24" t="str">
        <f>入力!P24</f>
        <v/>
      </c>
      <c r="M24" s="22" t="str">
        <f>IF(入力!J24="","",$B$3+$B$15*(K24-$B$2))</f>
        <v/>
      </c>
      <c r="N24" t="str">
        <f>IF(入力!J24="","",IF(M24&lt;-入力!$H$19,-入力!$D$12,IF(M24&gt;入力!$H$19,入力!$D$12,入力!$D$17*M24)))</f>
        <v/>
      </c>
      <c r="O24" t="str">
        <f>IF(入力!J24="","",L24*N24)</f>
        <v/>
      </c>
      <c r="P24" t="str">
        <f>IF(入力!J24="","",O24*(入力!$D$3/2-K24))</f>
        <v/>
      </c>
    </row>
    <row r="25" spans="1:16" x14ac:dyDescent="0.15">
      <c r="A25" s="18"/>
      <c r="B25" s="18"/>
      <c r="D25">
        <f>入力!X25</f>
        <v>940</v>
      </c>
      <c r="E25" s="63">
        <f>入力!AI25</f>
        <v>148000</v>
      </c>
      <c r="F25" s="22">
        <f t="shared" si="0"/>
        <v>-3.366892350109571E-2</v>
      </c>
      <c r="G25">
        <f>IF(F25&lt;=0,0,IF(F25&lt;=入力!$H$23,入力!$D$24*F25*(1-((F25/入力!$H$23)^(入力!$H$27-1))/入力!$H$27),IF(F25&lt;=入力!$H$26,入力!$H$24-入力!$H$25*(F25-入力!$H$23),0)))</f>
        <v>0</v>
      </c>
      <c r="H25">
        <f t="shared" si="1"/>
        <v>0</v>
      </c>
      <c r="I25">
        <f>H25*(入力!$D$3/2-D25)</f>
        <v>0</v>
      </c>
      <c r="K25" t="str">
        <f>IF(入力!J25="","",入力!J25)</f>
        <v/>
      </c>
      <c r="L25" t="str">
        <f>入力!P25</f>
        <v/>
      </c>
      <c r="M25" s="22" t="str">
        <f>IF(入力!J25="","",$B$3+$B$15*(K25-$B$2))</f>
        <v/>
      </c>
      <c r="N25" t="str">
        <f>IF(入力!J25="","",IF(M25&lt;-入力!$H$19,-入力!$D$12,IF(M25&gt;入力!$H$19,入力!$D$12,入力!$D$17*M25)))</f>
        <v/>
      </c>
      <c r="O25" t="str">
        <f>IF(入力!J25="","",L25*N25)</f>
        <v/>
      </c>
      <c r="P25" t="str">
        <f>IF(入力!J25="","",O25*(入力!$D$3/2-K25))</f>
        <v/>
      </c>
    </row>
    <row r="26" spans="1:16" x14ac:dyDescent="0.15">
      <c r="A26" s="18"/>
      <c r="B26" s="18"/>
      <c r="D26">
        <f>入力!X26</f>
        <v>980</v>
      </c>
      <c r="E26" s="63">
        <f>入力!AI26</f>
        <v>146411.54792249191</v>
      </c>
      <c r="F26" s="22">
        <f t="shared" si="0"/>
        <v>-3.1830721711482941E-2</v>
      </c>
      <c r="G26">
        <f>IF(F26&lt;=0,0,IF(F26&lt;=入力!$H$23,入力!$D$24*F26*(1-((F26/入力!$H$23)^(入力!$H$27-1))/入力!$H$27),IF(F26&lt;=入力!$H$26,入力!$H$24-入力!$H$25*(F26-入力!$H$23),0)))</f>
        <v>0</v>
      </c>
      <c r="H26">
        <f t="shared" si="1"/>
        <v>0</v>
      </c>
      <c r="I26">
        <f>H26*(入力!$D$3/2-D26)</f>
        <v>0</v>
      </c>
      <c r="K26" t="str">
        <f>IF(入力!J26="","",入力!J26)</f>
        <v/>
      </c>
      <c r="L26" t="str">
        <f>入力!P26</f>
        <v/>
      </c>
      <c r="M26" s="22" t="str">
        <f>IF(入力!J26="","",$B$3+$B$15*(K26-$B$2))</f>
        <v/>
      </c>
      <c r="N26" t="str">
        <f>IF(入力!J26="","",IF(M26&lt;-入力!$H$19,-入力!$D$12,IF(M26&gt;入力!$H$19,入力!$D$12,入力!$D$17*M26)))</f>
        <v/>
      </c>
      <c r="O26" t="str">
        <f>IF(入力!J26="","",L26*N26)</f>
        <v/>
      </c>
      <c r="P26" t="str">
        <f>IF(入力!J26="","",O26*(入力!$D$3/2-K26))</f>
        <v/>
      </c>
    </row>
    <row r="27" spans="1:16" x14ac:dyDescent="0.15">
      <c r="A27" s="18"/>
      <c r="B27" s="18"/>
      <c r="D27">
        <f>入力!X27</f>
        <v>1020</v>
      </c>
      <c r="E27" s="63">
        <f>入力!AI27</f>
        <v>146411.65207750807</v>
      </c>
      <c r="F27" s="22">
        <f t="shared" si="0"/>
        <v>-2.9992519921870173E-2</v>
      </c>
      <c r="G27">
        <f>IF(F27&lt;=0,0,IF(F27&lt;=入力!$H$23,入力!$D$24*F27*(1-((F27/入力!$H$23)^(入力!$H$27-1))/入力!$H$27),IF(F27&lt;=入力!$H$26,入力!$H$24-入力!$H$25*(F27-入力!$H$23),0)))</f>
        <v>0</v>
      </c>
      <c r="H27">
        <f t="shared" si="1"/>
        <v>0</v>
      </c>
      <c r="I27">
        <f>H27*(入力!$D$3/2-D27)</f>
        <v>0</v>
      </c>
      <c r="K27" t="str">
        <f>IF(入力!J27="","",入力!J27)</f>
        <v/>
      </c>
      <c r="L27" t="str">
        <f>入力!P27</f>
        <v/>
      </c>
      <c r="M27" s="22" t="str">
        <f>IF(入力!J27="","",$B$3+$B$15*(K27-$B$2))</f>
        <v/>
      </c>
      <c r="N27" t="str">
        <f>IF(入力!J27="","",IF(M27&lt;-入力!$H$19,-入力!$D$12,IF(M27&gt;入力!$H$19,入力!$D$12,入力!$D$17*M27)))</f>
        <v/>
      </c>
      <c r="O27" t="str">
        <f>IF(入力!J27="","",L27*N27)</f>
        <v/>
      </c>
      <c r="P27" t="str">
        <f>IF(入力!J27="","",O27*(入力!$D$3/2-K27))</f>
        <v/>
      </c>
    </row>
    <row r="28" spans="1:16" x14ac:dyDescent="0.15">
      <c r="A28" s="18"/>
      <c r="B28" s="18"/>
      <c r="D28">
        <f>入力!X28</f>
        <v>1060</v>
      </c>
      <c r="E28" s="63">
        <f>入力!AI28</f>
        <v>148000</v>
      </c>
      <c r="F28" s="22">
        <f t="shared" si="0"/>
        <v>-2.8154318132257411E-2</v>
      </c>
      <c r="G28">
        <f>IF(F28&lt;=0,0,IF(F28&lt;=入力!$H$23,入力!$D$24*F28*(1-((F28/入力!$H$23)^(入力!$H$27-1))/入力!$H$27),IF(F28&lt;=入力!$H$26,入力!$H$24-入力!$H$25*(F28-入力!$H$23),0)))</f>
        <v>0</v>
      </c>
      <c r="H28">
        <f t="shared" si="1"/>
        <v>0</v>
      </c>
      <c r="I28">
        <f>H28*(入力!$D$3/2-D28)</f>
        <v>0</v>
      </c>
      <c r="K28" t="str">
        <f>IF(入力!J28="","",入力!J28)</f>
        <v/>
      </c>
      <c r="L28" t="str">
        <f>入力!P28</f>
        <v/>
      </c>
      <c r="M28" s="22" t="str">
        <f>IF(入力!J28="","",$B$3+$B$15*(K28-$B$2))</f>
        <v/>
      </c>
      <c r="N28" t="str">
        <f>IF(入力!J28="","",IF(M28&lt;-入力!$H$19,-入力!$D$12,IF(M28&gt;入力!$H$19,入力!$D$12,入力!$D$17*M28)))</f>
        <v/>
      </c>
      <c r="O28" t="str">
        <f>IF(入力!J28="","",L28*N28)</f>
        <v/>
      </c>
      <c r="P28" t="str">
        <f>IF(入力!J28="","",O28*(入力!$D$3/2-K28))</f>
        <v/>
      </c>
    </row>
    <row r="29" spans="1:16" x14ac:dyDescent="0.15">
      <c r="A29" s="18"/>
      <c r="B29" s="18"/>
      <c r="D29">
        <f>入力!X29</f>
        <v>1100</v>
      </c>
      <c r="E29" s="63">
        <f>入力!AI29</f>
        <v>147518.45224295117</v>
      </c>
      <c r="F29" s="22">
        <f t="shared" si="0"/>
        <v>-2.6316116342644642E-2</v>
      </c>
      <c r="G29">
        <f>IF(F29&lt;=0,0,IF(F29&lt;=入力!$H$23,入力!$D$24*F29*(1-((F29/入力!$H$23)^(入力!$H$27-1))/入力!$H$27),IF(F29&lt;=入力!$H$26,入力!$H$24-入力!$H$25*(F29-入力!$H$23),0)))</f>
        <v>0</v>
      </c>
      <c r="H29">
        <f t="shared" si="1"/>
        <v>0</v>
      </c>
      <c r="I29">
        <f>H29*(入力!$D$3/2-D29)</f>
        <v>0</v>
      </c>
      <c r="K29" t="str">
        <f>IF(入力!J29="","",入力!J29)</f>
        <v/>
      </c>
      <c r="L29" t="str">
        <f>入力!P29</f>
        <v/>
      </c>
      <c r="M29" s="22" t="str">
        <f>IF(入力!J29="","",$B$3+$B$15*(K29-$B$2))</f>
        <v/>
      </c>
      <c r="N29" t="str">
        <f>IF(入力!J29="","",IF(M29&lt;-入力!$H$19,-入力!$D$12,IF(M29&gt;入力!$H$19,入力!$D$12,入力!$D$17*M29)))</f>
        <v/>
      </c>
      <c r="O29" t="str">
        <f>IF(入力!J29="","",L29*N29)</f>
        <v/>
      </c>
      <c r="P29" t="str">
        <f>IF(入力!J29="","",O29*(入力!$D$3/2-K29))</f>
        <v/>
      </c>
    </row>
    <row r="30" spans="1:16" x14ac:dyDescent="0.15">
      <c r="D30">
        <f>入力!X30</f>
        <v>1140</v>
      </c>
      <c r="E30" s="63">
        <f>入力!AI30</f>
        <v>146893.14775704884</v>
      </c>
      <c r="F30" s="22">
        <f t="shared" si="0"/>
        <v>-2.4477914553031874E-2</v>
      </c>
      <c r="G30">
        <f>IF(F30&lt;=0,0,IF(F30&lt;=入力!$H$23,入力!$D$24*F30*(1-((F30/入力!$H$23)^(入力!$H$27-1))/入力!$H$27),IF(F30&lt;=入力!$H$26,入力!$H$24-入力!$H$25*(F30-入力!$H$23),0)))</f>
        <v>0</v>
      </c>
      <c r="H30">
        <f t="shared" si="1"/>
        <v>0</v>
      </c>
      <c r="I30">
        <f>H30*(入力!$D$3/2-D30)</f>
        <v>0</v>
      </c>
      <c r="K30" t="str">
        <f>IF(入力!J30="","",入力!J30)</f>
        <v/>
      </c>
      <c r="L30" t="str">
        <f>入力!P30</f>
        <v/>
      </c>
      <c r="M30" s="22" t="str">
        <f>IF(入力!J30="","",$B$3+$B$15*(K30-$B$2))</f>
        <v/>
      </c>
      <c r="N30" t="str">
        <f>IF(入力!J30="","",IF(M30&lt;-入力!$H$19,-入力!$D$12,IF(M30&gt;入力!$H$19,入力!$D$12,入力!$D$17*M30)))</f>
        <v/>
      </c>
      <c r="O30" t="str">
        <f>IF(入力!J30="","",L30*N30)</f>
        <v/>
      </c>
      <c r="P30" t="str">
        <f>IF(入力!J30="","",O30*(入力!$D$3/2-K30))</f>
        <v/>
      </c>
    </row>
    <row r="31" spans="1:16" x14ac:dyDescent="0.15">
      <c r="D31">
        <f>入力!X31</f>
        <v>1200</v>
      </c>
      <c r="E31" s="63">
        <f>入力!AI31</f>
        <v>148000</v>
      </c>
      <c r="F31" s="22">
        <f t="shared" si="0"/>
        <v>-2.1720611868612724E-2</v>
      </c>
      <c r="G31">
        <f>IF(F31&lt;=0,0,IF(F31&lt;=入力!$H$23,入力!$D$24*F31*(1-((F31/入力!$H$23)^(入力!$H$27-1))/入力!$H$27),IF(F31&lt;=入力!$H$26,入力!$H$24-入力!$H$25*(F31-入力!$H$23),0)))</f>
        <v>0</v>
      </c>
      <c r="H31">
        <f t="shared" si="1"/>
        <v>0</v>
      </c>
      <c r="I31">
        <f>H31*(入力!$D$3/2-D31)</f>
        <v>0</v>
      </c>
      <c r="K31" t="str">
        <f>IF(入力!J31="","",入力!J31)</f>
        <v/>
      </c>
      <c r="L31" t="str">
        <f>入力!P31</f>
        <v/>
      </c>
      <c r="M31" s="22" t="str">
        <f>IF(入力!J31="","",$B$3+$B$15*(K31-$B$2))</f>
        <v/>
      </c>
      <c r="N31" t="str">
        <f>IF(入力!J31="","",IF(M31&lt;-入力!$H$19,-入力!$D$12,IF(M31&gt;入力!$H$19,入力!$D$12,入力!$D$17*M31)))</f>
        <v/>
      </c>
      <c r="O31" t="str">
        <f>IF(入力!J31="","",L31*N31)</f>
        <v/>
      </c>
      <c r="P31" t="str">
        <f>IF(入力!J31="","",O31*(入力!$D$3/2-K31))</f>
        <v/>
      </c>
    </row>
    <row r="32" spans="1:16" x14ac:dyDescent="0.15">
      <c r="D32">
        <f>入力!X32</f>
        <v>1240</v>
      </c>
      <c r="E32" s="63">
        <f>入力!AI32</f>
        <v>147593.8357049312</v>
      </c>
      <c r="F32" s="22">
        <f t="shared" si="0"/>
        <v>-1.9882410078999956E-2</v>
      </c>
      <c r="G32">
        <f>IF(F32&lt;=0,0,IF(F32&lt;=入力!$H$23,入力!$D$24*F32*(1-((F32/入力!$H$23)^(入力!$H$27-1))/入力!$H$27),IF(F32&lt;=入力!$H$26,入力!$H$24-入力!$H$25*(F32-入力!$H$23),0)))</f>
        <v>0</v>
      </c>
      <c r="H32">
        <f t="shared" si="1"/>
        <v>0</v>
      </c>
      <c r="I32">
        <f>H32*(入力!$D$3/2-D32)</f>
        <v>0</v>
      </c>
      <c r="K32" t="str">
        <f>IF(入力!J32="","",入力!J32)</f>
        <v/>
      </c>
      <c r="L32" t="str">
        <f>入力!P32</f>
        <v/>
      </c>
      <c r="M32" s="22" t="str">
        <f>IF(入力!J32="","",$B$3+$B$15*(K32-$B$2))</f>
        <v/>
      </c>
      <c r="N32" t="str">
        <f>IF(入力!J32="","",IF(M32&lt;-入力!$H$19,-入力!$D$12,IF(M32&gt;入力!$H$19,入力!$D$12,入力!$D$17*M32)))</f>
        <v/>
      </c>
      <c r="O32" t="str">
        <f>IF(入力!J32="","",L32*N32)</f>
        <v/>
      </c>
      <c r="P32" t="str">
        <f>IF(入力!J32="","",O32*(入力!$D$3/2-K32))</f>
        <v/>
      </c>
    </row>
    <row r="33" spans="4:16" x14ac:dyDescent="0.15">
      <c r="D33">
        <f>入力!X33</f>
        <v>1280</v>
      </c>
      <c r="E33" s="63">
        <f>入力!AI33</f>
        <v>145229.36429506881</v>
      </c>
      <c r="F33" s="22">
        <f t="shared" si="0"/>
        <v>-1.8044208289387187E-2</v>
      </c>
      <c r="G33">
        <f>IF(F33&lt;=0,0,IF(F33&lt;=入力!$H$23,入力!$D$24*F33*(1-((F33/入力!$H$23)^(入力!$H$27-1))/入力!$H$27),IF(F33&lt;=入力!$H$26,入力!$H$24-入力!$H$25*(F33-入力!$H$23),0)))</f>
        <v>0</v>
      </c>
      <c r="H33">
        <f t="shared" si="1"/>
        <v>0</v>
      </c>
      <c r="I33">
        <f>H33*(入力!$D$3/2-D33)</f>
        <v>0</v>
      </c>
      <c r="K33" t="str">
        <f>IF(入力!J33="","",入力!J33)</f>
        <v/>
      </c>
      <c r="L33" t="str">
        <f>入力!P33</f>
        <v/>
      </c>
      <c r="M33" s="22" t="str">
        <f>IF(入力!J33="","",$B$3+$B$15*(K33-$B$2))</f>
        <v/>
      </c>
      <c r="N33" t="str">
        <f>IF(入力!J33="","",IF(M33&lt;-入力!$H$19,-入力!$D$12,IF(M33&gt;入力!$H$19,入力!$D$12,入力!$D$17*M33)))</f>
        <v/>
      </c>
      <c r="O33" t="str">
        <f>IF(入力!J33="","",L33*N33)</f>
        <v/>
      </c>
      <c r="P33" t="str">
        <f>IF(入力!J33="","",O33*(入力!$D$3/2-K33))</f>
        <v/>
      </c>
    </row>
    <row r="34" spans="4:16" x14ac:dyDescent="0.15">
      <c r="D34">
        <f>入力!X34</f>
        <v>1320</v>
      </c>
      <c r="E34" s="63">
        <f>入力!AI34</f>
        <v>148000</v>
      </c>
      <c r="F34" s="22">
        <f t="shared" ref="F34:F51" si="2">$B$3+$B$15*(D34-$B$2)</f>
        <v>-1.6206006499774418E-2</v>
      </c>
      <c r="G34">
        <f>IF(F34&lt;=0,0,IF(F34&lt;=入力!$H$23,入力!$D$24*F34*(1-((F34/入力!$H$23)^(入力!$H$27-1))/入力!$H$27),IF(F34&lt;=入力!$H$26,入力!$H$24-入力!$H$25*(F34-入力!$H$23),0)))</f>
        <v>0</v>
      </c>
      <c r="H34">
        <f t="shared" ref="H34:H51" si="3">E34*G34</f>
        <v>0</v>
      </c>
      <c r="I34">
        <f>H34*(入力!$D$3/2-D34)</f>
        <v>0</v>
      </c>
      <c r="K34" t="str">
        <f>IF(入力!J34="","",入力!J34)</f>
        <v/>
      </c>
      <c r="L34" t="str">
        <f>入力!P34</f>
        <v/>
      </c>
      <c r="M34" s="22" t="str">
        <f>IF(入力!J34="","",$B$3+$B$15*(K34-$B$2))</f>
        <v/>
      </c>
      <c r="N34" t="str">
        <f>IF(入力!J34="","",IF(M34&lt;-入力!$H$19,-入力!$D$12,IF(M34&gt;入力!$H$19,入力!$D$12,入力!$D$17*M34)))</f>
        <v/>
      </c>
      <c r="O34" t="str">
        <f>IF(入力!J34="","",L34*N34)</f>
        <v/>
      </c>
      <c r="P34" t="str">
        <f>IF(入力!J34="","",O34*(入力!$D$3/2-K34))</f>
        <v/>
      </c>
    </row>
    <row r="35" spans="4:16" x14ac:dyDescent="0.15">
      <c r="D35">
        <f>入力!X35</f>
        <v>1360</v>
      </c>
      <c r="E35" s="63">
        <f>入力!AI35</f>
        <v>147987.27013196712</v>
      </c>
      <c r="F35" s="22">
        <f t="shared" si="2"/>
        <v>-1.4367804710161651E-2</v>
      </c>
      <c r="G35">
        <f>IF(F35&lt;=0,0,IF(F35&lt;=入力!$H$23,入力!$D$24*F35*(1-((F35/入力!$H$23)^(入力!$H$27-1))/入力!$H$27),IF(F35&lt;=入力!$H$26,入力!$H$24-入力!$H$25*(F35-入力!$H$23),0)))</f>
        <v>0</v>
      </c>
      <c r="H35">
        <f t="shared" si="3"/>
        <v>0</v>
      </c>
      <c r="I35">
        <f>H35*(入力!$D$3/2-D35)</f>
        <v>0</v>
      </c>
      <c r="K35" t="str">
        <f>IF(入力!J35="","",入力!J35)</f>
        <v/>
      </c>
      <c r="L35" t="str">
        <f>入力!P35</f>
        <v/>
      </c>
      <c r="M35" s="22" t="str">
        <f>IF(入力!J35="","",$B$3+$B$15*(K35-$B$2))</f>
        <v/>
      </c>
      <c r="N35" t="str">
        <f>IF(入力!J35="","",IF(M35&lt;-入力!$H$19,-入力!$D$12,IF(M35&gt;入力!$H$19,入力!$D$12,入力!$D$17*M35)))</f>
        <v/>
      </c>
      <c r="O35" t="str">
        <f>IF(入力!J35="","",L35*N35)</f>
        <v/>
      </c>
      <c r="P35" t="str">
        <f>IF(入力!J35="","",O35*(入力!$D$3/2-K35))</f>
        <v/>
      </c>
    </row>
    <row r="36" spans="4:16" x14ac:dyDescent="0.15">
      <c r="D36">
        <f>入力!X36</f>
        <v>1400</v>
      </c>
      <c r="E36" s="63">
        <f>入力!AI36</f>
        <v>146424.32986803289</v>
      </c>
      <c r="F36" s="22">
        <f t="shared" si="2"/>
        <v>-1.2529602920548886E-2</v>
      </c>
      <c r="G36">
        <f>IF(F36&lt;=0,0,IF(F36&lt;=入力!$H$23,入力!$D$24*F36*(1-((F36/入力!$H$23)^(入力!$H$27-1))/入力!$H$27),IF(F36&lt;=入力!$H$26,入力!$H$24-入力!$H$25*(F36-入力!$H$23),0)))</f>
        <v>0</v>
      </c>
      <c r="H36">
        <f t="shared" si="3"/>
        <v>0</v>
      </c>
      <c r="I36">
        <f>H36*(入力!$D$3/2-D36)</f>
        <v>0</v>
      </c>
      <c r="K36" t="str">
        <f>IF(入力!J36="","",入力!J36)</f>
        <v/>
      </c>
      <c r="L36" t="str">
        <f>入力!P36</f>
        <v/>
      </c>
      <c r="M36" s="22" t="str">
        <f>IF(入力!J36="","",$B$3+$B$15*(K36-$B$2))</f>
        <v/>
      </c>
      <c r="N36" t="str">
        <f>IF(入力!J36="","",IF(M36&lt;-入力!$H$19,-入力!$D$12,IF(M36&gt;入力!$H$19,入力!$D$12,入力!$D$17*M36)))</f>
        <v/>
      </c>
      <c r="O36" t="str">
        <f>IF(入力!J36="","",L36*N36)</f>
        <v/>
      </c>
      <c r="P36" t="str">
        <f>IF(入力!J36="","",O36*(入力!$D$3/2-K36))</f>
        <v/>
      </c>
    </row>
    <row r="37" spans="4:16" x14ac:dyDescent="0.15">
      <c r="D37">
        <f>入力!X37</f>
        <v>1440</v>
      </c>
      <c r="E37" s="63">
        <f>入力!AI37</f>
        <v>148000</v>
      </c>
      <c r="F37" s="22">
        <f t="shared" si="2"/>
        <v>-1.0691401130936118E-2</v>
      </c>
      <c r="G37">
        <f>IF(F37&lt;=0,0,IF(F37&lt;=入力!$H$23,入力!$D$24*F37*(1-((F37/入力!$H$23)^(入力!$H$27-1))/入力!$H$27),IF(F37&lt;=入力!$H$26,入力!$H$24-入力!$H$25*(F37-入力!$H$23),0)))</f>
        <v>0</v>
      </c>
      <c r="H37">
        <f t="shared" si="3"/>
        <v>0</v>
      </c>
      <c r="I37">
        <f>H37*(入力!$D$3/2-D37)</f>
        <v>0</v>
      </c>
      <c r="K37" t="str">
        <f>IF(入力!J37="","",入力!J37)</f>
        <v/>
      </c>
      <c r="L37" t="str">
        <f>入力!P37</f>
        <v/>
      </c>
      <c r="M37" s="22" t="str">
        <f>IF(入力!J37="","",$B$3+$B$15*(K37-$B$2))</f>
        <v/>
      </c>
      <c r="N37" t="str">
        <f>IF(入力!J37="","",IF(M37&lt;-入力!$H$19,-入力!$D$12,IF(M37&gt;入力!$H$19,入力!$D$12,入力!$D$17*M37)))</f>
        <v/>
      </c>
      <c r="O37" t="str">
        <f>IF(入力!J37="","",L37*N37)</f>
        <v/>
      </c>
      <c r="P37" t="str">
        <f>IF(入力!J37="","",O37*(入力!$D$3/2-K37))</f>
        <v/>
      </c>
    </row>
    <row r="38" spans="4:16" x14ac:dyDescent="0.15">
      <c r="D38">
        <f>入力!X38</f>
        <v>1480</v>
      </c>
      <c r="E38" s="63">
        <f>入力!AI38</f>
        <v>148000</v>
      </c>
      <c r="F38" s="22">
        <f t="shared" si="2"/>
        <v>-8.8531993413233489E-3</v>
      </c>
      <c r="G38">
        <f>IF(F38&lt;=0,0,IF(F38&lt;=入力!$H$23,入力!$D$24*F38*(1-((F38/入力!$H$23)^(入力!$H$27-1))/入力!$H$27),IF(F38&lt;=入力!$H$26,入力!$H$24-入力!$H$25*(F38-入力!$H$23),0)))</f>
        <v>0</v>
      </c>
      <c r="H38">
        <f t="shared" si="3"/>
        <v>0</v>
      </c>
      <c r="I38">
        <f>H38*(入力!$D$3/2-D38)</f>
        <v>0</v>
      </c>
      <c r="K38" t="str">
        <f>IF(入力!J38="","",入力!J38)</f>
        <v/>
      </c>
      <c r="L38" t="str">
        <f>入力!P38</f>
        <v/>
      </c>
      <c r="M38" s="22" t="str">
        <f>IF(入力!J38="","",$B$3+$B$15*(K38-$B$2))</f>
        <v/>
      </c>
      <c r="N38" t="str">
        <f>IF(入力!J38="","",IF(M38&lt;-入力!$H$19,-入力!$D$12,IF(M38&gt;入力!$H$19,入力!$D$12,入力!$D$17*M38)))</f>
        <v/>
      </c>
      <c r="O38" t="str">
        <f>IF(入力!J38="","",L38*N38)</f>
        <v/>
      </c>
      <c r="P38" t="str">
        <f>IF(入力!J38="","",O38*(入力!$D$3/2-K38))</f>
        <v/>
      </c>
    </row>
    <row r="39" spans="4:16" x14ac:dyDescent="0.15">
      <c r="D39">
        <f>入力!X39</f>
        <v>1520</v>
      </c>
      <c r="E39" s="63">
        <f>入力!AI39</f>
        <v>144823.20000000001</v>
      </c>
      <c r="F39" s="22">
        <f t="shared" si="2"/>
        <v>-7.014997551710582E-3</v>
      </c>
      <c r="G39">
        <f>IF(F39&lt;=0,0,IF(F39&lt;=入力!$H$23,入力!$D$24*F39*(1-((F39/入力!$H$23)^(入力!$H$27-1))/入力!$H$27),IF(F39&lt;=入力!$H$26,入力!$H$24-入力!$H$25*(F39-入力!$H$23),0)))</f>
        <v>0</v>
      </c>
      <c r="H39">
        <f t="shared" si="3"/>
        <v>0</v>
      </c>
      <c r="I39">
        <f>H39*(入力!$D$3/2-D39)</f>
        <v>0</v>
      </c>
      <c r="K39" t="str">
        <f>IF(入力!J39="","",入力!J39)</f>
        <v/>
      </c>
      <c r="L39" t="str">
        <f>入力!P39</f>
        <v/>
      </c>
      <c r="M39" s="22" t="str">
        <f>IF(入力!J39="","",$B$3+$B$15*(K39-$B$2))</f>
        <v/>
      </c>
      <c r="N39" t="str">
        <f>IF(入力!J39="","",IF(M39&lt;-入力!$H$19,-入力!$D$12,IF(M39&gt;入力!$H$19,入力!$D$12,入力!$D$17*M39)))</f>
        <v/>
      </c>
      <c r="O39" t="str">
        <f>IF(入力!J39="","",L39*N39)</f>
        <v/>
      </c>
      <c r="P39" t="str">
        <f>IF(入力!J39="","",O39*(入力!$D$3/2-K39))</f>
        <v/>
      </c>
    </row>
    <row r="40" spans="4:16" x14ac:dyDescent="0.15">
      <c r="D40">
        <f>入力!X40</f>
        <v>1560</v>
      </c>
      <c r="E40" s="63">
        <f>入力!AI40</f>
        <v>148000</v>
      </c>
      <c r="F40" s="22">
        <f t="shared" si="2"/>
        <v>-5.1767957620978133E-3</v>
      </c>
      <c r="G40">
        <f>IF(F40&lt;=0,0,IF(F40&lt;=入力!$H$23,入力!$D$24*F40*(1-((F40/入力!$H$23)^(入力!$H$27-1))/入力!$H$27),IF(F40&lt;=入力!$H$26,入力!$H$24-入力!$H$25*(F40-入力!$H$23),0)))</f>
        <v>0</v>
      </c>
      <c r="H40">
        <f t="shared" si="3"/>
        <v>0</v>
      </c>
      <c r="I40">
        <f>H40*(入力!$D$3/2-D40)</f>
        <v>0</v>
      </c>
      <c r="K40" t="str">
        <f>IF(入力!J40="","",入力!J40)</f>
        <v/>
      </c>
      <c r="L40" t="str">
        <f>入力!P40</f>
        <v/>
      </c>
      <c r="M40" s="22" t="str">
        <f>IF(入力!J40="","",$B$3+$B$15*(K40-$B$2))</f>
        <v/>
      </c>
      <c r="N40" t="str">
        <f>IF(入力!J40="","",IF(M40&lt;-入力!$H$19,-入力!$D$12,IF(M40&gt;入力!$H$19,入力!$D$12,入力!$D$17*M40)))</f>
        <v/>
      </c>
      <c r="O40" t="str">
        <f>IF(入力!J40="","",L40*N40)</f>
        <v/>
      </c>
      <c r="P40" t="str">
        <f>IF(入力!J40="","",O40*(入力!$D$3/2-K40))</f>
        <v/>
      </c>
    </row>
    <row r="41" spans="4:16" x14ac:dyDescent="0.15">
      <c r="D41">
        <f>入力!X41</f>
        <v>1600</v>
      </c>
      <c r="E41" s="63">
        <f>入力!AI41</f>
        <v>148000</v>
      </c>
      <c r="F41" s="22">
        <f t="shared" si="2"/>
        <v>-3.3385939724850464E-3</v>
      </c>
      <c r="G41">
        <f>IF(F41&lt;=0,0,IF(F41&lt;=入力!$H$23,入力!$D$24*F41*(1-((F41/入力!$H$23)^(入力!$H$27-1))/入力!$H$27),IF(F41&lt;=入力!$H$26,入力!$H$24-入力!$H$25*(F41-入力!$H$23),0)))</f>
        <v>0</v>
      </c>
      <c r="H41">
        <f t="shared" si="3"/>
        <v>0</v>
      </c>
      <c r="I41">
        <f>H41*(入力!$D$3/2-D41)</f>
        <v>0</v>
      </c>
      <c r="K41" t="str">
        <f>IF(入力!J41="","",入力!J41)</f>
        <v/>
      </c>
      <c r="L41" t="str">
        <f>入力!P41</f>
        <v/>
      </c>
      <c r="M41" s="22" t="str">
        <f>IF(入力!J41="","",$B$3+$B$15*(K41-$B$2))</f>
        <v/>
      </c>
      <c r="N41" t="str">
        <f>IF(入力!J41="","",IF(M41&lt;-入力!$H$19,-入力!$D$12,IF(M41&gt;入力!$H$19,入力!$D$12,入力!$D$17*M41)))</f>
        <v/>
      </c>
      <c r="O41" t="str">
        <f>IF(入力!J41="","",L41*N41)</f>
        <v/>
      </c>
      <c r="P41" t="str">
        <f>IF(入力!J41="","",O41*(入力!$D$3/2-K41))</f>
        <v/>
      </c>
    </row>
    <row r="42" spans="4:16" x14ac:dyDescent="0.15">
      <c r="D42">
        <f>入力!X42</f>
        <v>1640</v>
      </c>
      <c r="E42" s="63">
        <f>入力!AI42</f>
        <v>146424.27779052482</v>
      </c>
      <c r="F42" s="22">
        <f t="shared" si="2"/>
        <v>-1.5003921828722778E-3</v>
      </c>
      <c r="G42">
        <f>IF(F42&lt;=0,0,IF(F42&lt;=入力!$H$23,入力!$D$24*F42*(1-((F42/入力!$H$23)^(入力!$H$27-1))/入力!$H$27),IF(F42&lt;=入力!$H$26,入力!$H$24-入力!$H$25*(F42-入力!$H$23),0)))</f>
        <v>0</v>
      </c>
      <c r="H42">
        <f t="shared" si="3"/>
        <v>0</v>
      </c>
      <c r="I42">
        <f>H42*(入力!$D$3/2-D42)</f>
        <v>0</v>
      </c>
      <c r="K42" t="str">
        <f>IF(入力!J42="","",入力!J42)</f>
        <v/>
      </c>
      <c r="L42" t="str">
        <f>入力!P42</f>
        <v/>
      </c>
      <c r="M42" s="22" t="str">
        <f>IF(入力!J42="","",$B$3+$B$15*(K42-$B$2))</f>
        <v/>
      </c>
      <c r="N42" t="str">
        <f>IF(入力!J42="","",IF(M42&lt;-入力!$H$19,-入力!$D$12,IF(M42&gt;入力!$H$19,入力!$D$12,入力!$D$17*M42)))</f>
        <v/>
      </c>
      <c r="O42" t="str">
        <f>IF(入力!J42="","",L42*N42)</f>
        <v/>
      </c>
      <c r="P42" t="str">
        <f>IF(入力!J42="","",O42*(入力!$D$3/2-K42))</f>
        <v/>
      </c>
    </row>
    <row r="43" spans="4:16" x14ac:dyDescent="0.15">
      <c r="D43">
        <f>入力!X43</f>
        <v>1680</v>
      </c>
      <c r="E43" s="63">
        <f>入力!AI43</f>
        <v>147987.32220947518</v>
      </c>
      <c r="F43" s="22">
        <f t="shared" si="2"/>
        <v>3.3780960674048999E-4</v>
      </c>
      <c r="G43">
        <f>IF(F43&lt;=0,0,IF(F43&lt;=入力!$H$23,入力!$D$24*F43*(1-((F43/入力!$H$23)^(入力!$H$27-1))/入力!$H$27),IF(F43&lt;=入力!$H$26,入力!$H$24-入力!$H$25*(F43-入力!$H$23),0)))</f>
        <v>7.6236730012924045</v>
      </c>
      <c r="H43">
        <f t="shared" si="3"/>
        <v>1128206.9528619358</v>
      </c>
      <c r="I43">
        <f>H43*(入力!$D$3/2-D43)</f>
        <v>-767180727.94611633</v>
      </c>
      <c r="K43" t="str">
        <f>IF(入力!J43="","",入力!J43)</f>
        <v/>
      </c>
      <c r="L43" t="str">
        <f>入力!P43</f>
        <v/>
      </c>
      <c r="M43" s="22" t="str">
        <f>IF(入力!J43="","",$B$3+$B$15*(K43-$B$2))</f>
        <v/>
      </c>
      <c r="N43" t="str">
        <f>IF(入力!J43="","",IF(M43&lt;-入力!$H$19,-入力!$D$12,IF(M43&gt;入力!$H$19,入力!$D$12,入力!$D$17*M43)))</f>
        <v/>
      </c>
      <c r="O43" t="str">
        <f>IF(入力!J43="","",L43*N43)</f>
        <v/>
      </c>
      <c r="P43" t="str">
        <f>IF(入力!J43="","",O43*(入力!$D$3/2-K43))</f>
        <v/>
      </c>
    </row>
    <row r="44" spans="4:16" x14ac:dyDescent="0.15">
      <c r="D44">
        <f>入力!X44</f>
        <v>1720</v>
      </c>
      <c r="E44" s="63">
        <f>入力!AI44</f>
        <v>148000</v>
      </c>
      <c r="F44" s="22">
        <f t="shared" si="2"/>
        <v>2.1760113963532569E-3</v>
      </c>
      <c r="G44">
        <f>IF(F44&lt;=0,0,IF(F44&lt;=入力!$H$23,入力!$D$24*F44*(1-((F44/入力!$H$23)^(入力!$H$27-1))/入力!$H$27),IF(F44&lt;=入力!$H$26,入力!$H$24-入力!$H$25*(F44-入力!$H$23),0)))</f>
        <v>29.152390124438369</v>
      </c>
      <c r="H44">
        <f t="shared" si="3"/>
        <v>4314553.7384168785</v>
      </c>
      <c r="I44">
        <f>H44*(入力!$D$3/2-D44)</f>
        <v>-3106478691.6601524</v>
      </c>
      <c r="K44" t="str">
        <f>IF(入力!J44="","",入力!J44)</f>
        <v/>
      </c>
      <c r="L44" t="str">
        <f>入力!P44</f>
        <v/>
      </c>
      <c r="M44" s="22" t="str">
        <f>IF(入力!J44="","",$B$3+$B$15*(K44-$B$2))</f>
        <v/>
      </c>
      <c r="N44" t="str">
        <f>IF(入力!J44="","",IF(M44&lt;-入力!$H$19,-入力!$D$12,IF(M44&gt;入力!$H$19,入力!$D$12,入力!$D$17*M44)))</f>
        <v/>
      </c>
      <c r="O44" t="str">
        <f>IF(入力!J44="","",L44*N44)</f>
        <v/>
      </c>
      <c r="P44" t="str">
        <f>IF(入力!J44="","",O44*(入力!$D$3/2-K44))</f>
        <v/>
      </c>
    </row>
    <row r="45" spans="4:16" x14ac:dyDescent="0.15">
      <c r="D45">
        <f>入力!X45</f>
        <v>1740</v>
      </c>
      <c r="E45" s="63">
        <f>入力!AI45</f>
        <v>136224.35559522378</v>
      </c>
      <c r="F45" s="22">
        <f t="shared" si="2"/>
        <v>3.0951122911596412E-3</v>
      </c>
      <c r="G45">
        <f>IF(F45&lt;=0,0,IF(F45&lt;=入力!$H$23,入力!$D$24*F45*(1-((F45/入力!$H$23)^(入力!$H$27-1))/入力!$H$27),IF(F45&lt;=入力!$H$26,入力!$H$24-入力!$H$25*(F45-入力!$H$23),0)))</f>
        <v>32.169504355000477</v>
      </c>
      <c r="H45">
        <f t="shared" si="3"/>
        <v>4382270.0005776854</v>
      </c>
      <c r="I45">
        <f>H45*(入力!$D$3/2-D45)</f>
        <v>-3242879800.4274874</v>
      </c>
      <c r="K45" t="str">
        <f>IF(入力!J45="","",入力!J45)</f>
        <v/>
      </c>
      <c r="L45" t="str">
        <f>入力!P45</f>
        <v/>
      </c>
      <c r="M45" s="22" t="str">
        <f>IF(入力!J45="","",$B$3+$B$15*(K45-$B$2))</f>
        <v/>
      </c>
      <c r="N45" t="str">
        <f>IF(入力!J45="","",IF(M45&lt;-入力!$H$19,-入力!$D$12,IF(M45&gt;入力!$H$19,入力!$D$12,入力!$D$17*M45)))</f>
        <v/>
      </c>
      <c r="O45" t="str">
        <f>IF(入力!J45="","",L45*N45)</f>
        <v/>
      </c>
      <c r="P45" t="str">
        <f>IF(入力!J45="","",O45*(入力!$D$3/2-K45))</f>
        <v/>
      </c>
    </row>
    <row r="46" spans="4:16" x14ac:dyDescent="0.15">
      <c r="D46">
        <f>入力!X46</f>
        <v>1780</v>
      </c>
      <c r="E46" s="63">
        <f>入力!AI46</f>
        <v>146274.24440477623</v>
      </c>
      <c r="F46" s="22">
        <f t="shared" si="2"/>
        <v>4.933314080772409E-3</v>
      </c>
      <c r="G46">
        <f>IF(F46&lt;=0,0,IF(F46&lt;=入力!$H$23,入力!$D$24*F46*(1-((F46/入力!$H$23)^(入力!$H$27-1))/入力!$H$27),IF(F46&lt;=入力!$H$26,入力!$H$24-入力!$H$25*(F46-入力!$H$23),0)))</f>
        <v>26.909029242643136</v>
      </c>
      <c r="H46">
        <f t="shared" si="3"/>
        <v>3936097.9201336526</v>
      </c>
      <c r="I46">
        <f>H46*(入力!$D$3/2-D46)</f>
        <v>-3070156377.7042489</v>
      </c>
      <c r="K46" t="str">
        <f>IF(入力!J46="","",入力!J46)</f>
        <v/>
      </c>
      <c r="L46" t="str">
        <f>入力!P46</f>
        <v/>
      </c>
      <c r="M46" s="22" t="str">
        <f>IF(入力!J46="","",$B$3+$B$15*(K46-$B$2))</f>
        <v/>
      </c>
      <c r="N46" t="str">
        <f>IF(入力!J46="","",IF(M46&lt;-入力!$H$19,-入力!$D$12,IF(M46&gt;入力!$H$19,入力!$D$12,入力!$D$17*M46)))</f>
        <v/>
      </c>
      <c r="O46" t="str">
        <f>IF(入力!J46="","",L46*N46)</f>
        <v/>
      </c>
      <c r="P46" t="str">
        <f>IF(入力!J46="","",O46*(入力!$D$3/2-K46))</f>
        <v/>
      </c>
    </row>
    <row r="47" spans="4:16" x14ac:dyDescent="0.15">
      <c r="D47">
        <f>入力!X47</f>
        <v>1820</v>
      </c>
      <c r="E47" s="63">
        <f>入力!AI47</f>
        <v>144852.22671321675</v>
      </c>
      <c r="F47" s="22">
        <f t="shared" si="2"/>
        <v>6.7715158703851768E-3</v>
      </c>
      <c r="G47">
        <f>IF(F47&lt;=0,0,IF(F47&lt;=入力!$H$23,入力!$D$24*F47*(1-((F47/入力!$H$23)^(入力!$H$27-1))/入力!$H$27),IF(F47&lt;=入力!$H$26,入力!$H$24-入力!$H$25*(F47-入力!$H$23),0)))</f>
        <v>20.757978410112365</v>
      </c>
      <c r="H47">
        <f t="shared" si="3"/>
        <v>3006839.3947696546</v>
      </c>
      <c r="I47">
        <f>H47*(入力!$D$3/2-D47)</f>
        <v>-2465608303.7111168</v>
      </c>
      <c r="K47" t="str">
        <f>IF(入力!J47="","",入力!J47)</f>
        <v/>
      </c>
      <c r="L47" t="str">
        <f>入力!P47</f>
        <v/>
      </c>
      <c r="M47" s="22" t="str">
        <f>IF(入力!J47="","",$B$3+$B$15*(K47-$B$2))</f>
        <v/>
      </c>
      <c r="N47" t="str">
        <f>IF(入力!J47="","",IF(M47&lt;-入力!$H$19,-入力!$D$12,IF(M47&gt;入力!$H$19,入力!$D$12,入力!$D$17*M47)))</f>
        <v/>
      </c>
      <c r="O47" t="str">
        <f>IF(入力!J47="","",L47*N47)</f>
        <v/>
      </c>
      <c r="P47" t="str">
        <f>IF(入力!J47="","",O47*(入力!$D$3/2-K47))</f>
        <v/>
      </c>
    </row>
    <row r="48" spans="4:16" x14ac:dyDescent="0.15">
      <c r="D48">
        <f>入力!X48</f>
        <v>1860</v>
      </c>
      <c r="E48" s="63">
        <f>入力!AI48</f>
        <v>15527.573286783241</v>
      </c>
      <c r="F48" s="22">
        <f t="shared" si="2"/>
        <v>8.6097176599979446E-3</v>
      </c>
      <c r="G48">
        <f>IF(F48&lt;=0,0,IF(F48&lt;=入力!$H$23,入力!$D$24*F48*(1-((F48/入力!$H$23)^(入力!$H$27-1))/入力!$H$27),IF(F48&lt;=入力!$H$26,入力!$H$24-入力!$H$25*(F48-入力!$H$23),0)))</f>
        <v>0</v>
      </c>
      <c r="H48">
        <f t="shared" si="3"/>
        <v>0</v>
      </c>
      <c r="I48">
        <f>H48*(入力!$D$3/2-D48)</f>
        <v>0</v>
      </c>
      <c r="K48" t="str">
        <f>IF(入力!J48="","",入力!J48)</f>
        <v/>
      </c>
      <c r="L48" t="str">
        <f>入力!P48</f>
        <v/>
      </c>
      <c r="M48" s="22" t="str">
        <f>IF(入力!J48="","",$B$3+$B$15*(K48-$B$2))</f>
        <v/>
      </c>
      <c r="N48" t="str">
        <f>IF(入力!J48="","",IF(M48&lt;-入力!$H$19,-入力!$D$12,IF(M48&gt;入力!$H$19,入力!$D$12,入力!$D$17*M48)))</f>
        <v/>
      </c>
      <c r="O48" t="str">
        <f>IF(入力!J48="","",L48*N48)</f>
        <v/>
      </c>
      <c r="P48" t="str">
        <f>IF(入力!J48="","",O48*(入力!$D$3/2-K48))</f>
        <v/>
      </c>
    </row>
    <row r="49" spans="4:16" x14ac:dyDescent="0.15">
      <c r="D49">
        <f>入力!X49</f>
        <v>1900</v>
      </c>
      <c r="E49" s="63">
        <f>入力!AI49</f>
        <v>0</v>
      </c>
      <c r="F49" s="22">
        <f t="shared" si="2"/>
        <v>1.0447919449610711E-2</v>
      </c>
      <c r="G49">
        <f>IF(F49&lt;=0,0,IF(F49&lt;=入力!$H$23,入力!$D$24*F49*(1-((F49/入力!$H$23)^(入力!$H$27-1))/入力!$H$27),IF(F49&lt;=入力!$H$26,入力!$H$24-入力!$H$25*(F49-入力!$H$23),0)))</f>
        <v>0</v>
      </c>
      <c r="H49">
        <f t="shared" si="3"/>
        <v>0</v>
      </c>
      <c r="I49">
        <f>H49*(入力!$D$3/2-D49)</f>
        <v>0</v>
      </c>
      <c r="K49" t="str">
        <f>IF(入力!J49="","",入力!J49)</f>
        <v/>
      </c>
      <c r="L49" t="str">
        <f>入力!P49</f>
        <v/>
      </c>
      <c r="M49" s="22" t="str">
        <f>IF(入力!J49="","",$B$3+$B$15*(K49-$B$2))</f>
        <v/>
      </c>
      <c r="N49" t="str">
        <f>IF(入力!J49="","",IF(M49&lt;-入力!$H$19,-入力!$D$12,IF(M49&gt;入力!$H$19,入力!$D$12,入力!$D$17*M49)))</f>
        <v/>
      </c>
      <c r="O49" t="str">
        <f>IF(入力!J49="","",L49*N49)</f>
        <v/>
      </c>
      <c r="P49" t="str">
        <f>IF(入力!J49="","",O49*(入力!$D$3/2-K49))</f>
        <v/>
      </c>
    </row>
    <row r="50" spans="4:16" x14ac:dyDescent="0.15">
      <c r="D50">
        <f>入力!X50</f>
        <v>1940</v>
      </c>
      <c r="E50" s="63">
        <f>入力!AI50</f>
        <v>0</v>
      </c>
      <c r="F50" s="22">
        <f t="shared" si="2"/>
        <v>1.228612123922348E-2</v>
      </c>
      <c r="G50">
        <f>IF(F50&lt;=0,0,IF(F50&lt;=入力!$H$23,入力!$D$24*F50*(1-((F50/入力!$H$23)^(入力!$H$27-1))/入力!$H$27),IF(F50&lt;=入力!$H$26,入力!$H$24-入力!$H$25*(F50-入力!$H$23),0)))</f>
        <v>0</v>
      </c>
      <c r="H50">
        <f t="shared" si="3"/>
        <v>0</v>
      </c>
      <c r="I50">
        <f>H50*(入力!$D$3/2-D50)</f>
        <v>0</v>
      </c>
      <c r="K50" t="str">
        <f>IF(入力!J50="","",入力!J50)</f>
        <v/>
      </c>
      <c r="L50" t="str">
        <f>入力!P50</f>
        <v/>
      </c>
      <c r="M50" s="22" t="str">
        <f>IF(入力!J50="","",$B$3+$B$15*(K50-$B$2))</f>
        <v/>
      </c>
      <c r="N50" t="str">
        <f>IF(入力!J50="","",IF(M50&lt;-入力!$H$19,-入力!$D$12,IF(M50&gt;入力!$H$19,入力!$D$12,入力!$D$17*M50)))</f>
        <v/>
      </c>
      <c r="O50" t="str">
        <f>IF(入力!J50="","",L50*N50)</f>
        <v/>
      </c>
      <c r="P50" t="str">
        <f>IF(入力!J50="","",O50*(入力!$D$3/2-K50))</f>
        <v/>
      </c>
    </row>
    <row r="51" spans="4:16" x14ac:dyDescent="0.15">
      <c r="D51">
        <f>入力!X51</f>
        <v>1980</v>
      </c>
      <c r="E51" s="63">
        <f>入力!AI51</f>
        <v>0</v>
      </c>
      <c r="F51" s="22">
        <f t="shared" si="2"/>
        <v>1.4124323028836247E-2</v>
      </c>
      <c r="G51">
        <f>IF(F51&lt;=0,0,IF(F51&lt;=入力!$H$23,入力!$D$24*F51*(1-((F51/入力!$H$23)^(入力!$H$27-1))/入力!$H$27),IF(F51&lt;=入力!$H$26,入力!$H$24-入力!$H$25*(F51-入力!$H$23),0)))</f>
        <v>0</v>
      </c>
      <c r="H51">
        <f t="shared" si="3"/>
        <v>0</v>
      </c>
      <c r="I51">
        <f>H51*(入力!$D$3/2-D51)</f>
        <v>0</v>
      </c>
      <c r="K51" t="str">
        <f>IF(入力!J51="","",入力!J51)</f>
        <v/>
      </c>
      <c r="L51" t="str">
        <f>入力!P51</f>
        <v/>
      </c>
      <c r="M51" s="22" t="str">
        <f>IF(入力!J51="","",$B$3+$B$15*(K51-$B$2))</f>
        <v/>
      </c>
      <c r="N51" t="str">
        <f>IF(入力!J51="","",IF(M51&lt;-入力!$H$19,-入力!$D$12,IF(M51&gt;入力!$H$19,入力!$D$12,入力!$D$17*M51)))</f>
        <v/>
      </c>
      <c r="O51" t="str">
        <f>IF(入力!J51="","",L51*N51)</f>
        <v/>
      </c>
      <c r="P51" t="str">
        <f>IF(入力!J51="","",O51*(入力!$D$3/2-K51))</f>
        <v/>
      </c>
    </row>
  </sheetData>
  <phoneticPr fontId="3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/>
  </sheetViews>
  <sheetFormatPr defaultColWidth="13" defaultRowHeight="13.5" x14ac:dyDescent="0.15"/>
  <cols>
    <col min="1" max="1" width="31.5" bestFit="1" customWidth="1"/>
    <col min="4" max="4" width="9" customWidth="1"/>
  </cols>
  <sheetData>
    <row r="1" spans="1:11" x14ac:dyDescent="0.15">
      <c r="A1" s="4" t="s">
        <v>211</v>
      </c>
      <c r="B1" t="s">
        <v>216</v>
      </c>
      <c r="C1" t="s">
        <v>217</v>
      </c>
      <c r="E1" t="s">
        <v>65</v>
      </c>
      <c r="F1" t="s">
        <v>179</v>
      </c>
      <c r="G1" t="s">
        <v>170</v>
      </c>
      <c r="H1" t="s">
        <v>183</v>
      </c>
      <c r="I1" t="s">
        <v>182</v>
      </c>
      <c r="J1" t="s">
        <v>181</v>
      </c>
      <c r="K1" t="s">
        <v>184</v>
      </c>
    </row>
    <row r="2" spans="1:11" x14ac:dyDescent="0.15">
      <c r="A2" t="s">
        <v>212</v>
      </c>
      <c r="B2" s="68">
        <f>入力!H36</f>
        <v>1.120504551173638E-7</v>
      </c>
      <c r="C2" s="22">
        <f>入力!H35</f>
        <v>9587516736.1554432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15">
      <c r="A3" t="s">
        <v>213</v>
      </c>
      <c r="B3" s="68">
        <f>初降伏!B15</f>
        <v>1.3567875214450153E-6</v>
      </c>
      <c r="C3" s="22">
        <f>初降伏!B16</f>
        <v>30380603852.36467</v>
      </c>
      <c r="E3">
        <f>E2+入力!$D$14/50</f>
        <v>200</v>
      </c>
      <c r="F3" s="67">
        <f>$C$11*E3</f>
        <v>191750334.72310886</v>
      </c>
      <c r="G3" s="67">
        <f>F3/$C$8</f>
        <v>2.241009102347276E-9</v>
      </c>
      <c r="H3" s="67">
        <f>(G2*E2+G3*E3)*(E3-E2)/2</f>
        <v>4.4820182046945519E-5</v>
      </c>
      <c r="I3" s="67">
        <f>$C$12*E3</f>
        <v>607612077.04729331</v>
      </c>
      <c r="J3">
        <f>IF(E3&lt;=$C$14,$C$12*E3/$C$8,入力!$H$36+(I3-入力!$H$35)/$C$9)</f>
        <v>7.1012350373488928E-9</v>
      </c>
      <c r="K3">
        <f>(J2*E2+J3*E3)*(E3-E2)/2</f>
        <v>1.4202470074697787E-4</v>
      </c>
    </row>
    <row r="4" spans="1:11" x14ac:dyDescent="0.15">
      <c r="A4" t="s">
        <v>218</v>
      </c>
      <c r="B4" s="68">
        <f>B3*終局2!B16/初降伏!B16</f>
        <v>1.5325119924399981E-6</v>
      </c>
      <c r="C4" s="22">
        <f>終局2!B16</f>
        <v>34315350786.637138</v>
      </c>
      <c r="E4">
        <f>E3+入力!$D$14/50</f>
        <v>400</v>
      </c>
      <c r="F4" s="67">
        <f t="shared" ref="F4:F52" si="0">$C$11*E4</f>
        <v>383500669.44621772</v>
      </c>
      <c r="G4" s="67">
        <f t="shared" ref="G4:G52" si="1">F4/$C$8</f>
        <v>4.4820182046945519E-9</v>
      </c>
      <c r="H4" s="67">
        <f t="shared" ref="H4:H52" si="2">(G3*E3+G4*E4)*(E4-E3)/2</f>
        <v>2.241009102347276E-4</v>
      </c>
      <c r="I4" s="67">
        <f t="shared" ref="I4:I52" si="3">$C$12*E4</f>
        <v>1215224154.0945866</v>
      </c>
      <c r="J4">
        <f>IF(E4&lt;=$C$14,$C$12*E4/$C$8,入力!$H$36+(I4-入力!$H$35)/$C$9)</f>
        <v>1.4202470074697786E-8</v>
      </c>
      <c r="K4">
        <f t="shared" ref="K4:K52" si="4">(J3*E3+J4*E4)*(E4-E3)/2</f>
        <v>7.1012350373488931E-4</v>
      </c>
    </row>
    <row r="5" spans="1:11" x14ac:dyDescent="0.15">
      <c r="A5" t="s">
        <v>214</v>
      </c>
      <c r="B5" s="68">
        <f>終局2!B15</f>
        <v>2.3188015194095974E-5</v>
      </c>
      <c r="C5" s="22">
        <f>終局2!B16</f>
        <v>34315350786.637138</v>
      </c>
      <c r="E5">
        <f>E4+入力!$D$14/50</f>
        <v>600</v>
      </c>
      <c r="F5" s="67">
        <f t="shared" si="0"/>
        <v>575251004.16932654</v>
      </c>
      <c r="G5" s="67">
        <f t="shared" si="1"/>
        <v>6.7230273070418279E-9</v>
      </c>
      <c r="H5" s="67">
        <f t="shared" si="2"/>
        <v>5.8266236661029178E-4</v>
      </c>
      <c r="I5" s="67">
        <f t="shared" si="3"/>
        <v>1822836231.14188</v>
      </c>
      <c r="J5">
        <f>IF(E5&lt;=$C$14,$C$12*E5/$C$8,入力!$H$36+(I5-入力!$H$35)/$C$9)</f>
        <v>2.1303705112046682E-8</v>
      </c>
      <c r="K5">
        <f t="shared" si="4"/>
        <v>1.8463211097107122E-3</v>
      </c>
    </row>
    <row r="6" spans="1:11" x14ac:dyDescent="0.15">
      <c r="A6" t="s">
        <v>215</v>
      </c>
      <c r="B6" s="68">
        <f>MIN('終局3-1'!B15,'終局3-2'!B15)</f>
        <v>3.2352147649256046E-5</v>
      </c>
      <c r="C6" s="22">
        <f>IF('終局3-1'!B15&lt;'終局3-2'!B15,'終局3-1'!B16,'終局3-2'!B16)</f>
        <v>34299876907.884529</v>
      </c>
      <c r="E6">
        <f>E5+入力!$D$14/50</f>
        <v>800</v>
      </c>
      <c r="F6" s="67">
        <f t="shared" si="0"/>
        <v>767001338.89243543</v>
      </c>
      <c r="G6" s="67">
        <f t="shared" si="1"/>
        <v>8.9640364093891039E-9</v>
      </c>
      <c r="H6" s="67">
        <f t="shared" si="2"/>
        <v>1.120504551173638E-3</v>
      </c>
      <c r="I6" s="67">
        <f t="shared" si="3"/>
        <v>2430448308.1891732</v>
      </c>
      <c r="J6">
        <f>IF(E6&lt;=$C$14,$C$12*E6/$C$8,入力!$H$36+(I6-入力!$H$35)/$C$9)</f>
        <v>2.8404940149395571E-8</v>
      </c>
      <c r="K6">
        <f t="shared" si="4"/>
        <v>3.5506175186744465E-3</v>
      </c>
    </row>
    <row r="7" spans="1:11" x14ac:dyDescent="0.15">
      <c r="E7">
        <f>E6+入力!$D$14/50</f>
        <v>1000</v>
      </c>
      <c r="F7" s="67">
        <f t="shared" si="0"/>
        <v>958751673.61554432</v>
      </c>
      <c r="G7" s="67">
        <f t="shared" si="1"/>
        <v>1.1205045511736381E-8</v>
      </c>
      <c r="H7" s="67">
        <f t="shared" si="2"/>
        <v>1.8376274639247661E-3</v>
      </c>
      <c r="I7" s="67">
        <f t="shared" si="3"/>
        <v>3038060385.2364669</v>
      </c>
      <c r="J7">
        <f>IF(E7&lt;=$C$14,$C$12*E7/$C$8,入力!$H$36+(I7-入力!$H$35)/$C$9)</f>
        <v>3.5506175186744467E-8</v>
      </c>
      <c r="K7">
        <f t="shared" si="4"/>
        <v>5.8230127306260924E-3</v>
      </c>
    </row>
    <row r="8" spans="1:11" x14ac:dyDescent="0.15">
      <c r="A8" t="s">
        <v>208</v>
      </c>
      <c r="B8" t="s">
        <v>175</v>
      </c>
      <c r="C8" s="68">
        <f>入力!H35/入力!H36</f>
        <v>8.5564281966666656E+16</v>
      </c>
      <c r="D8" s="68"/>
      <c r="E8">
        <f>E7+入力!$D$14/50</f>
        <v>1200</v>
      </c>
      <c r="F8" s="67">
        <f t="shared" si="0"/>
        <v>1150502008.3386531</v>
      </c>
      <c r="G8" s="67">
        <f t="shared" si="1"/>
        <v>1.3446054614083656E-8</v>
      </c>
      <c r="H8" s="67">
        <f t="shared" si="2"/>
        <v>2.7340311048636768E-3</v>
      </c>
      <c r="I8" s="67">
        <f t="shared" si="3"/>
        <v>3645672462.2837601</v>
      </c>
      <c r="J8">
        <f>IF(E8&lt;=$C$14,$C$12*E8/$C$8,入力!$H$36+(I8-入力!$H$35)/$C$9)</f>
        <v>4.2607410224093363E-8</v>
      </c>
      <c r="K8">
        <f t="shared" si="4"/>
        <v>8.6635067455656505E-3</v>
      </c>
    </row>
    <row r="9" spans="1:11" x14ac:dyDescent="0.15">
      <c r="A9" t="s">
        <v>209</v>
      </c>
      <c r="B9" t="s">
        <v>176</v>
      </c>
      <c r="C9" s="68">
        <f>(初降伏!B16-入力!H35)/(初降伏!B15-入力!H36)</f>
        <v>1.6704802707896444E+16</v>
      </c>
      <c r="D9" s="68"/>
      <c r="E9">
        <f>E8+入力!$D$14/50</f>
        <v>1400</v>
      </c>
      <c r="F9" s="67">
        <f t="shared" si="0"/>
        <v>1342252343.0617621</v>
      </c>
      <c r="G9" s="67">
        <f t="shared" si="1"/>
        <v>1.5687063716430933E-8</v>
      </c>
      <c r="H9" s="67">
        <f t="shared" si="2"/>
        <v>3.8097154739903695E-3</v>
      </c>
      <c r="I9" s="67">
        <f t="shared" si="3"/>
        <v>4253284539.3310533</v>
      </c>
      <c r="J9">
        <f>IF(E9&lt;=$C$14,$C$12*E9/$C$8,入力!$H$36+(I9-入力!$H$35)/$C$9)</f>
        <v>4.9708645261442253E-8</v>
      </c>
      <c r="K9">
        <f t="shared" si="4"/>
        <v>1.2072099563493118E-2</v>
      </c>
    </row>
    <row r="10" spans="1:11" x14ac:dyDescent="0.15">
      <c r="E10">
        <f>E9+入力!$D$14/50</f>
        <v>1600</v>
      </c>
      <c r="F10" s="67">
        <f t="shared" si="0"/>
        <v>1534002677.7848709</v>
      </c>
      <c r="G10" s="67">
        <f t="shared" si="1"/>
        <v>1.7928072818778208E-8</v>
      </c>
      <c r="H10" s="67">
        <f t="shared" si="2"/>
        <v>5.0646805713048431E-3</v>
      </c>
      <c r="I10" s="67">
        <f t="shared" si="3"/>
        <v>4860896616.3783464</v>
      </c>
      <c r="J10">
        <f>IF(E10&lt;=$C$14,$C$12*E10/$C$8,入力!$H$36+(I10-入力!$H$35)/$C$9)</f>
        <v>5.6809880298791142E-8</v>
      </c>
      <c r="K10">
        <f t="shared" si="4"/>
        <v>1.6048791184408499E-2</v>
      </c>
    </row>
    <row r="11" spans="1:11" x14ac:dyDescent="0.15">
      <c r="A11" s="70" t="s">
        <v>196</v>
      </c>
      <c r="B11" s="71" t="s">
        <v>177</v>
      </c>
      <c r="C11" s="72">
        <f>入力!H35/入力!D14</f>
        <v>958751.67361554434</v>
      </c>
      <c r="D11" s="73" t="s">
        <v>197</v>
      </c>
      <c r="E11">
        <f>E10+入力!$D$14/50</f>
        <v>1800</v>
      </c>
      <c r="F11" s="67">
        <f t="shared" si="0"/>
        <v>1725753012.5079799</v>
      </c>
      <c r="G11" s="67">
        <f t="shared" si="1"/>
        <v>2.0169081921125486E-8</v>
      </c>
      <c r="H11" s="67">
        <f t="shared" si="2"/>
        <v>6.4989263968071006E-3</v>
      </c>
      <c r="I11" s="67">
        <f t="shared" si="3"/>
        <v>5468508693.4256401</v>
      </c>
      <c r="J11">
        <f>IF(E11&lt;=$C$14,$C$12*E11/$C$8,入力!$H$36+(I11-入力!$H$35)/$C$9)</f>
        <v>6.3911115336140038E-8</v>
      </c>
      <c r="K11">
        <f t="shared" si="4"/>
        <v>2.059358160831179E-2</v>
      </c>
    </row>
    <row r="12" spans="1:11" x14ac:dyDescent="0.15">
      <c r="A12" t="s">
        <v>198</v>
      </c>
      <c r="B12" t="s">
        <v>178</v>
      </c>
      <c r="C12" s="67">
        <f>初降伏!B16/入力!D14</f>
        <v>3038060.3852364668</v>
      </c>
      <c r="D12" s="67" t="s">
        <v>197</v>
      </c>
      <c r="E12">
        <f>E11+入力!$D$14/50</f>
        <v>2000</v>
      </c>
      <c r="F12" s="67">
        <f t="shared" si="0"/>
        <v>1917503347.2310886</v>
      </c>
      <c r="G12" s="67">
        <f t="shared" si="1"/>
        <v>2.2410091023472761E-8</v>
      </c>
      <c r="H12" s="67">
        <f t="shared" si="2"/>
        <v>8.1124529504971402E-3</v>
      </c>
      <c r="I12" s="67">
        <f t="shared" si="3"/>
        <v>6076120770.4729338</v>
      </c>
      <c r="J12">
        <f>IF(E12&lt;=$C$14,$C$12*E12/$C$8,入力!$H$36+(I12-入力!$H$35)/$C$9)</f>
        <v>7.1012350373488934E-8</v>
      </c>
      <c r="K12">
        <f t="shared" si="4"/>
        <v>2.5706470835202992E-2</v>
      </c>
    </row>
    <row r="13" spans="1:11" x14ac:dyDescent="0.15">
      <c r="E13">
        <f>E12+入力!$D$14/50</f>
        <v>2200</v>
      </c>
      <c r="F13" s="67">
        <f t="shared" si="0"/>
        <v>2109253681.9541976</v>
      </c>
      <c r="G13" s="67">
        <f t="shared" si="1"/>
        <v>2.465110012582004E-8</v>
      </c>
      <c r="H13" s="67">
        <f t="shared" si="2"/>
        <v>9.9052602323749604E-3</v>
      </c>
      <c r="I13" s="67">
        <f t="shared" si="3"/>
        <v>6683732847.5202265</v>
      </c>
      <c r="J13">
        <f>IF(E13&lt;=$C$14,$C$12*E13/$C$8,入力!$H$36+(I13-入力!$H$35)/$C$9)</f>
        <v>7.811358541083783E-8</v>
      </c>
      <c r="K13">
        <f t="shared" si="4"/>
        <v>3.138745886508211E-2</v>
      </c>
    </row>
    <row r="14" spans="1:11" x14ac:dyDescent="0.15">
      <c r="A14" t="s">
        <v>207</v>
      </c>
      <c r="B14" t="s">
        <v>180</v>
      </c>
      <c r="C14" s="69">
        <f>入力!H35/結果!C12</f>
        <v>3155.8019000366908</v>
      </c>
      <c r="D14" s="69"/>
      <c r="E14">
        <f>E13+入力!$D$14/50</f>
        <v>2400</v>
      </c>
      <c r="F14" s="67">
        <f t="shared" si="0"/>
        <v>2301004016.6773062</v>
      </c>
      <c r="G14" s="67">
        <f t="shared" si="1"/>
        <v>2.6892109228167312E-8</v>
      </c>
      <c r="H14" s="67">
        <f t="shared" si="2"/>
        <v>1.1877348242440564E-2</v>
      </c>
      <c r="I14" s="67">
        <f t="shared" si="3"/>
        <v>7291344924.5675201</v>
      </c>
      <c r="J14">
        <f>IF(E14&lt;=$C$14,$C$12*E14/$C$8,入力!$H$36+(I14-入力!$H$35)/$C$9)</f>
        <v>8.5214820448186726E-8</v>
      </c>
      <c r="K14">
        <f t="shared" si="4"/>
        <v>3.7636545697949136E-2</v>
      </c>
    </row>
    <row r="15" spans="1:11" x14ac:dyDescent="0.15">
      <c r="E15">
        <f>E14+入力!$D$14/50</f>
        <v>2600</v>
      </c>
      <c r="F15" s="67">
        <f t="shared" si="0"/>
        <v>2492754351.4004154</v>
      </c>
      <c r="G15" s="67">
        <f t="shared" si="1"/>
        <v>2.913311833051459E-8</v>
      </c>
      <c r="H15" s="67">
        <f t="shared" si="2"/>
        <v>1.4028716980693948E-2</v>
      </c>
      <c r="I15" s="67">
        <f t="shared" si="3"/>
        <v>7898957001.6148138</v>
      </c>
      <c r="J15">
        <f>IF(E15&lt;=$C$14,$C$12*E15/$C$8,入力!$H$36+(I15-入力!$H$35)/$C$9)</f>
        <v>9.2316055485535622E-8</v>
      </c>
      <c r="K15">
        <f t="shared" si="4"/>
        <v>4.4453731333804078E-2</v>
      </c>
    </row>
    <row r="16" spans="1:11" x14ac:dyDescent="0.15">
      <c r="A16" s="70" t="s">
        <v>199</v>
      </c>
      <c r="B16" s="71" t="s">
        <v>183</v>
      </c>
      <c r="C16" s="77">
        <f>SUM(H2:H52)</f>
        <v>3.7357621736129087</v>
      </c>
      <c r="D16" s="74" t="s">
        <v>118</v>
      </c>
      <c r="E16">
        <f>E15+入力!$D$14/50</f>
        <v>2800</v>
      </c>
      <c r="F16" s="67">
        <f t="shared" si="0"/>
        <v>2684504686.1235242</v>
      </c>
      <c r="G16" s="67">
        <f t="shared" si="1"/>
        <v>3.1374127432861865E-8</v>
      </c>
      <c r="H16" s="67">
        <f t="shared" si="2"/>
        <v>1.6359366447135117E-2</v>
      </c>
      <c r="I16" s="67">
        <f t="shared" si="3"/>
        <v>8506569078.6621065</v>
      </c>
      <c r="J16">
        <f>IF(E16&lt;=$C$14,$C$12*E16/$C$8,入力!$H$36+(I16-入力!$H$35)/$C$9)</f>
        <v>9.9417290522884505E-8</v>
      </c>
      <c r="K16">
        <f t="shared" si="4"/>
        <v>5.1839015772646921E-2</v>
      </c>
    </row>
    <row r="17" spans="1:11" x14ac:dyDescent="0.15">
      <c r="A17" t="s">
        <v>200</v>
      </c>
      <c r="B17" t="s">
        <v>185</v>
      </c>
      <c r="C17" s="13">
        <f>SUM(K2:K52)</f>
        <v>38.305408598672443</v>
      </c>
      <c r="D17" s="13" t="s">
        <v>118</v>
      </c>
      <c r="E17">
        <f>E16+入力!$D$14/50</f>
        <v>3000</v>
      </c>
      <c r="F17" s="67">
        <f t="shared" si="0"/>
        <v>2876255020.846633</v>
      </c>
      <c r="G17" s="67">
        <f t="shared" si="1"/>
        <v>3.361513653520914E-8</v>
      </c>
      <c r="H17" s="67">
        <f t="shared" si="2"/>
        <v>1.8869296641764066E-2</v>
      </c>
      <c r="I17" s="67">
        <f t="shared" si="3"/>
        <v>9114181155.7094002</v>
      </c>
      <c r="J17">
        <f>IF(E17&lt;=$C$14,$C$12*E17/$C$8,入力!$H$36+(I17-入力!$H$35)/$C$9)</f>
        <v>1.065185255602334E-7</v>
      </c>
      <c r="K17">
        <f t="shared" si="4"/>
        <v>5.9792399014477679E-2</v>
      </c>
    </row>
    <row r="18" spans="1:11" x14ac:dyDescent="0.15">
      <c r="E18">
        <f>E17+入力!$D$14/50</f>
        <v>3200</v>
      </c>
      <c r="F18" s="67">
        <f t="shared" si="0"/>
        <v>3068005355.5697417</v>
      </c>
      <c r="G18" s="67">
        <f t="shared" si="1"/>
        <v>3.5856145637556416E-8</v>
      </c>
      <c r="H18" s="67">
        <f t="shared" si="2"/>
        <v>2.1558507564580793E-2</v>
      </c>
      <c r="I18" s="67">
        <f t="shared" si="3"/>
        <v>9721793232.7566929</v>
      </c>
      <c r="J18">
        <f>IF(E18&lt;=$C$14,$C$12*E18/$C$8,入力!$H$36+(I18-入力!$H$35)/$C$9)</f>
        <v>1.2008865221248882E-7</v>
      </c>
      <c r="K18">
        <f t="shared" si="4"/>
        <v>7.0383926376066455E-2</v>
      </c>
    </row>
    <row r="19" spans="1:11" x14ac:dyDescent="0.15">
      <c r="A19" s="70" t="s">
        <v>201</v>
      </c>
      <c r="B19" s="71" t="s">
        <v>187</v>
      </c>
      <c r="C19" s="75">
        <f>終局2!B16/入力!D14</f>
        <v>3431535.0786637138</v>
      </c>
      <c r="D19" s="76" t="s">
        <v>197</v>
      </c>
      <c r="E19">
        <f>E18+入力!$D$14/50</f>
        <v>3400</v>
      </c>
      <c r="F19" s="67">
        <f t="shared" si="0"/>
        <v>3259755690.292851</v>
      </c>
      <c r="G19" s="67">
        <f t="shared" si="1"/>
        <v>3.8097154739903697E-8</v>
      </c>
      <c r="H19" s="67">
        <f t="shared" si="2"/>
        <v>2.4426999215585311E-2</v>
      </c>
      <c r="I19" s="67">
        <f t="shared" si="3"/>
        <v>10329405309.803988</v>
      </c>
      <c r="J19">
        <f>IF(E19&lt;=$C$14,$C$12*E19/$C$8,入力!$H$36+(I19-入力!$H$35)/$C$9)</f>
        <v>1.5646214836638672E-7</v>
      </c>
      <c r="K19">
        <f t="shared" si="4"/>
        <v>9.1625499152567902E-2</v>
      </c>
    </row>
    <row r="20" spans="1:11" x14ac:dyDescent="0.15">
      <c r="A20" s="70" t="s">
        <v>202</v>
      </c>
      <c r="B20" s="71" t="s">
        <v>186</v>
      </c>
      <c r="C20" s="77">
        <f>終局2!B16*C17/初降伏!B16</f>
        <v>43.266537409084457</v>
      </c>
      <c r="D20" s="74" t="s">
        <v>118</v>
      </c>
      <c r="E20">
        <f>E19+入力!$D$14/50</f>
        <v>3600</v>
      </c>
      <c r="F20" s="67">
        <f t="shared" si="0"/>
        <v>3451506025.0159597</v>
      </c>
      <c r="G20" s="67">
        <f t="shared" si="1"/>
        <v>4.0338163842250972E-8</v>
      </c>
      <c r="H20" s="67">
        <f t="shared" si="2"/>
        <v>2.7474771594777611E-2</v>
      </c>
      <c r="I20" s="67">
        <f t="shared" si="3"/>
        <v>10937017386.85128</v>
      </c>
      <c r="J20">
        <f>IF(E20&lt;=$C$14,$C$12*E20/$C$8,入力!$H$36+(I20-入力!$H$35)/$C$9)</f>
        <v>1.9283564452028451E-7</v>
      </c>
      <c r="K20">
        <f t="shared" si="4"/>
        <v>0.1226179624718739</v>
      </c>
    </row>
    <row r="21" spans="1:11" x14ac:dyDescent="0.15">
      <c r="E21">
        <f>E20+入力!$D$14/50</f>
        <v>3800</v>
      </c>
      <c r="F21" s="67">
        <f t="shared" si="0"/>
        <v>3643256359.7390685</v>
      </c>
      <c r="G21" s="67">
        <f t="shared" si="1"/>
        <v>4.2579172944598248E-8</v>
      </c>
      <c r="H21" s="67">
        <f t="shared" si="2"/>
        <v>3.0701824702157685E-2</v>
      </c>
      <c r="I21" s="67">
        <f t="shared" si="3"/>
        <v>11544629463.898573</v>
      </c>
      <c r="J21">
        <f>IF(E21&lt;=$C$14,$C$12*E21/$C$8,入力!$H$36+(I21-入力!$H$35)/$C$9)</f>
        <v>2.292091406741823E-7</v>
      </c>
      <c r="K21">
        <f t="shared" si="4"/>
        <v>0.15652030548349169</v>
      </c>
    </row>
    <row r="22" spans="1:11" x14ac:dyDescent="0.15">
      <c r="A22" t="s">
        <v>205</v>
      </c>
      <c r="B22" t="s">
        <v>195</v>
      </c>
      <c r="C22" s="68">
        <f>終局2!B16*初降伏!B15/初降伏!B16</f>
        <v>1.5325119924399981E-6</v>
      </c>
      <c r="D22" s="68" t="s">
        <v>171</v>
      </c>
      <c r="E22">
        <f>E21+入力!$D$14/50</f>
        <v>4000</v>
      </c>
      <c r="F22" s="67">
        <f t="shared" si="0"/>
        <v>3835006694.4621773</v>
      </c>
      <c r="G22" s="67">
        <f t="shared" si="1"/>
        <v>4.4820182046945523E-8</v>
      </c>
      <c r="H22" s="67">
        <f t="shared" si="2"/>
        <v>3.4108158537725544E-2</v>
      </c>
      <c r="I22" s="67">
        <f t="shared" si="3"/>
        <v>12152241540.945868</v>
      </c>
      <c r="J22">
        <f>IF(E22&lt;=$C$14,$C$12*E22/$C$8,入力!$H$36+(I22-入力!$H$35)/$C$9)</f>
        <v>2.6558263682808022E-7</v>
      </c>
      <c r="K22">
        <f t="shared" si="4"/>
        <v>0.19333252818742136</v>
      </c>
    </row>
    <row r="23" spans="1:11" x14ac:dyDescent="0.15">
      <c r="A23" s="70" t="s">
        <v>203</v>
      </c>
      <c r="B23" s="71" t="s">
        <v>188</v>
      </c>
      <c r="C23" s="78">
        <f>C20+(終局2!B15-C22)*入力!H14*(入力!D14-入力!H14/2)</f>
        <v>182.08297969263921</v>
      </c>
      <c r="D23" s="74" t="s">
        <v>118</v>
      </c>
      <c r="E23">
        <f>E22+入力!$D$14/50</f>
        <v>4200</v>
      </c>
      <c r="F23" s="67">
        <f t="shared" si="0"/>
        <v>4026757029.185286</v>
      </c>
      <c r="G23" s="67">
        <f t="shared" si="1"/>
        <v>4.7061191149292798E-8</v>
      </c>
      <c r="H23" s="67">
        <f t="shared" si="2"/>
        <v>3.7693773101481184E-2</v>
      </c>
      <c r="I23" s="67">
        <f t="shared" si="3"/>
        <v>12759853617.99316</v>
      </c>
      <c r="J23">
        <f>IF(E23&lt;=$C$14,$C$12*E23/$C$8,入力!$H$36+(I23-入力!$H$35)/$C$9)</f>
        <v>3.0195613298197798E-7</v>
      </c>
      <c r="K23">
        <f t="shared" si="4"/>
        <v>0.23305463058366283</v>
      </c>
    </row>
    <row r="24" spans="1:11" x14ac:dyDescent="0.15">
      <c r="E24">
        <f>E23+入力!$D$14/50</f>
        <v>4400</v>
      </c>
      <c r="F24" s="67">
        <f t="shared" si="0"/>
        <v>4218507363.9083953</v>
      </c>
      <c r="G24" s="67">
        <f t="shared" si="1"/>
        <v>4.930220025164008E-8</v>
      </c>
      <c r="H24" s="67">
        <f t="shared" si="2"/>
        <v>4.1458668393424609E-2</v>
      </c>
      <c r="I24" s="67">
        <f t="shared" si="3"/>
        <v>13367465695.040453</v>
      </c>
      <c r="J24">
        <f>IF(E24&lt;=$C$14,$C$12*E24/$C$8,入力!$H$36+(I24-入力!$H$35)/$C$9)</f>
        <v>3.383296291358758E-7</v>
      </c>
      <c r="K24">
        <f t="shared" si="4"/>
        <v>0.27568661267221606</v>
      </c>
    </row>
    <row r="25" spans="1:11" x14ac:dyDescent="0.15">
      <c r="A25" t="s">
        <v>206</v>
      </c>
      <c r="B25" t="s">
        <v>193</v>
      </c>
      <c r="C25" s="68">
        <f>MIN('終局3-1'!B15,'終局3-2'!B15)</f>
        <v>3.2352147649256046E-5</v>
      </c>
      <c r="D25" s="68" t="s">
        <v>171</v>
      </c>
      <c r="E25">
        <f>E24+入力!$D$14/50</f>
        <v>4600</v>
      </c>
      <c r="F25" s="67">
        <f t="shared" si="0"/>
        <v>4410257698.6315041</v>
      </c>
      <c r="G25" s="67">
        <f t="shared" si="1"/>
        <v>5.1543209353987355E-8</v>
      </c>
      <c r="H25" s="67">
        <f t="shared" si="2"/>
        <v>4.5402844413555819E-2</v>
      </c>
      <c r="I25" s="67">
        <f t="shared" si="3"/>
        <v>13975077772.087748</v>
      </c>
      <c r="J25">
        <f>IF(E25&lt;=$C$14,$C$12*E25/$C$8,入力!$H$36+(I25-入力!$H$35)/$C$9)</f>
        <v>3.7470312528977367E-7</v>
      </c>
      <c r="K25">
        <f t="shared" si="4"/>
        <v>0.32122847445308123</v>
      </c>
    </row>
    <row r="26" spans="1:11" x14ac:dyDescent="0.15">
      <c r="A26" s="70" t="s">
        <v>204</v>
      </c>
      <c r="B26" s="71" t="s">
        <v>194</v>
      </c>
      <c r="C26" s="78">
        <f>C20+(C25-C22)*入力!H14*(入力!D14-入力!H14/2)</f>
        <v>240.82704360075937</v>
      </c>
      <c r="D26" s="74" t="s">
        <v>118</v>
      </c>
      <c r="E26">
        <f>E25+入力!$D$14/50</f>
        <v>4800</v>
      </c>
      <c r="F26" s="67">
        <f t="shared" si="0"/>
        <v>4602008033.3546124</v>
      </c>
      <c r="G26" s="67">
        <f t="shared" si="1"/>
        <v>5.3784218456334623E-8</v>
      </c>
      <c r="H26" s="67">
        <f t="shared" si="2"/>
        <v>4.95263011618748E-2</v>
      </c>
      <c r="I26" s="67">
        <f t="shared" si="3"/>
        <v>14582689849.13504</v>
      </c>
      <c r="J26">
        <f>IF(E26&lt;=$C$14,$C$12*E26/$C$8,入力!$H$36+(I26-入力!$H$35)/$C$9)</f>
        <v>4.1107662144367149E-7</v>
      </c>
      <c r="K26">
        <f t="shared" si="4"/>
        <v>0.36968021592625822</v>
      </c>
    </row>
    <row r="27" spans="1:11" x14ac:dyDescent="0.15">
      <c r="E27">
        <f>E26+入力!$D$14/50</f>
        <v>5000</v>
      </c>
      <c r="F27" s="67">
        <f t="shared" si="0"/>
        <v>4793758368.0777216</v>
      </c>
      <c r="G27" s="67">
        <f t="shared" si="1"/>
        <v>5.6025227558681898E-8</v>
      </c>
      <c r="H27" s="67">
        <f t="shared" si="2"/>
        <v>5.3829038638381566E-2</v>
      </c>
      <c r="I27" s="67">
        <f t="shared" si="3"/>
        <v>15190301926.182333</v>
      </c>
      <c r="J27">
        <f>IF(E27&lt;=$C$14,$C$12*E27/$C$8,入力!$H$36+(I27-入力!$H$35)/$C$9)</f>
        <v>4.4745011759756925E-7</v>
      </c>
      <c r="K27">
        <f t="shared" si="4"/>
        <v>0.42104183709174692</v>
      </c>
    </row>
    <row r="28" spans="1:11" x14ac:dyDescent="0.15">
      <c r="E28">
        <f>E27+入力!$D$14/50</f>
        <v>5200</v>
      </c>
      <c r="F28" s="67">
        <f t="shared" si="0"/>
        <v>4985508702.8008308</v>
      </c>
      <c r="G28" s="67">
        <f t="shared" si="1"/>
        <v>5.826623666102918E-8</v>
      </c>
      <c r="H28" s="67">
        <f t="shared" si="2"/>
        <v>5.8311056843076123E-2</v>
      </c>
      <c r="I28" s="67">
        <f t="shared" si="3"/>
        <v>15797914003.229628</v>
      </c>
      <c r="J28">
        <f>IF(E28&lt;=$C$14,$C$12*E28/$C$8,入力!$H$36+(I28-入力!$H$35)/$C$9)</f>
        <v>4.8382361375146723E-7</v>
      </c>
      <c r="K28">
        <f t="shared" si="4"/>
        <v>0.47531333794954767</v>
      </c>
    </row>
    <row r="29" spans="1:11" x14ac:dyDescent="0.15">
      <c r="E29">
        <f>E28+入力!$D$14/50</f>
        <v>5400</v>
      </c>
      <c r="F29" s="67">
        <f t="shared" si="0"/>
        <v>5177259037.5239391</v>
      </c>
      <c r="G29" s="67">
        <f t="shared" si="1"/>
        <v>6.0507245763376455E-8</v>
      </c>
      <c r="H29" s="67">
        <f t="shared" si="2"/>
        <v>6.2972355775958458E-2</v>
      </c>
      <c r="I29" s="67">
        <f t="shared" si="3"/>
        <v>16405526080.27692</v>
      </c>
      <c r="J29">
        <f>IF(E29&lt;=$C$14,$C$12*E29/$C$8,入力!$H$36+(I29-入力!$H$35)/$C$9)</f>
        <v>5.2019710990536494E-7</v>
      </c>
      <c r="K29">
        <f t="shared" si="4"/>
        <v>0.53249471849966001</v>
      </c>
    </row>
    <row r="30" spans="1:11" x14ac:dyDescent="0.15">
      <c r="E30">
        <f>E29+入力!$D$14/50</f>
        <v>5600</v>
      </c>
      <c r="F30" s="67">
        <f t="shared" si="0"/>
        <v>5369009372.2470484</v>
      </c>
      <c r="G30" s="67">
        <f t="shared" si="1"/>
        <v>6.274825486572373E-8</v>
      </c>
      <c r="H30" s="67">
        <f t="shared" si="2"/>
        <v>6.7812935437028571E-2</v>
      </c>
      <c r="I30" s="67">
        <f t="shared" si="3"/>
        <v>17013138157.324213</v>
      </c>
      <c r="J30">
        <f>IF(E30&lt;=$C$14,$C$12*E30/$C$8,入力!$H$36+(I30-入力!$H$35)/$C$9)</f>
        <v>5.5657060605926275E-7</v>
      </c>
      <c r="K30">
        <f t="shared" si="4"/>
        <v>0.59258597874208419</v>
      </c>
    </row>
    <row r="31" spans="1:11" x14ac:dyDescent="0.15">
      <c r="A31" s="88"/>
      <c r="B31" s="88"/>
      <c r="C31" s="88"/>
      <c r="D31" s="88"/>
      <c r="E31">
        <f>E30+入力!$D$14/50</f>
        <v>5800</v>
      </c>
      <c r="F31" s="67">
        <f t="shared" si="0"/>
        <v>5560759706.9701576</v>
      </c>
      <c r="G31" s="67">
        <f t="shared" si="1"/>
        <v>6.4989263968071019E-8</v>
      </c>
      <c r="H31" s="67">
        <f t="shared" si="2"/>
        <v>7.2832795826286489E-2</v>
      </c>
      <c r="I31" s="67">
        <f t="shared" si="3"/>
        <v>17620750234.371506</v>
      </c>
      <c r="J31">
        <f>IF(E31&lt;=$C$14,$C$12*E31/$C$8,入力!$H$36+(I31-入力!$H$35)/$C$9)</f>
        <v>5.9294410221316057E-7</v>
      </c>
      <c r="K31">
        <f t="shared" si="4"/>
        <v>0.65558711867682029</v>
      </c>
    </row>
    <row r="32" spans="1:11" x14ac:dyDescent="0.15">
      <c r="A32" s="88" t="s">
        <v>255</v>
      </c>
      <c r="B32" s="88" t="s">
        <v>256</v>
      </c>
      <c r="C32" s="88" t="s">
        <v>257</v>
      </c>
      <c r="D32" s="88"/>
      <c r="E32">
        <f>E31+入力!$D$14/50</f>
        <v>6000</v>
      </c>
      <c r="F32" s="67">
        <f t="shared" si="0"/>
        <v>5752510041.6932659</v>
      </c>
      <c r="G32" s="67">
        <f t="shared" si="1"/>
        <v>6.7230273070418281E-8</v>
      </c>
      <c r="H32" s="67">
        <f t="shared" si="2"/>
        <v>7.8031936943732172E-2</v>
      </c>
      <c r="I32" s="67">
        <f t="shared" si="3"/>
        <v>18228362311.4188</v>
      </c>
      <c r="J32">
        <f>IF(E32&lt;=$C$14,$C$12*E32/$C$8,入力!$H$36+(I32-入力!$H$35)/$C$9)</f>
        <v>6.2931759836705849E-7</v>
      </c>
      <c r="K32">
        <f t="shared" si="4"/>
        <v>0.72149813830386833</v>
      </c>
    </row>
    <row r="33" spans="1:11" x14ac:dyDescent="0.15">
      <c r="A33" s="88"/>
      <c r="B33" s="88">
        <v>0</v>
      </c>
      <c r="C33" s="88">
        <v>0</v>
      </c>
      <c r="D33" s="88"/>
      <c r="E33">
        <f>E32+入力!$D$14/50</f>
        <v>6200</v>
      </c>
      <c r="F33" s="67">
        <f t="shared" si="0"/>
        <v>5944260376.4163752</v>
      </c>
      <c r="G33" s="67">
        <f t="shared" si="1"/>
        <v>6.9471282172765556E-8</v>
      </c>
      <c r="H33" s="67">
        <f t="shared" si="2"/>
        <v>8.3410358789365618E-2</v>
      </c>
      <c r="I33" s="67">
        <f t="shared" si="3"/>
        <v>18835974388.466095</v>
      </c>
      <c r="J33">
        <f>IF(E33&lt;=$C$14,$C$12*E33/$C$8,入力!$H$36+(I33-入力!$H$35)/$C$9)</f>
        <v>6.6569109452095642E-7</v>
      </c>
      <c r="K33">
        <f t="shared" si="4"/>
        <v>0.79031903762322808</v>
      </c>
    </row>
    <row r="34" spans="1:11" x14ac:dyDescent="0.15">
      <c r="A34" s="88"/>
      <c r="B34" s="89">
        <f>B2*1000</f>
        <v>1.120504551173638E-4</v>
      </c>
      <c r="C34" s="89">
        <f>C2/1000000000</f>
        <v>9.5875167361554432</v>
      </c>
      <c r="D34" s="88"/>
      <c r="E34">
        <f>E33+入力!$D$14/50</f>
        <v>6400</v>
      </c>
      <c r="F34" s="67">
        <f t="shared" si="0"/>
        <v>6136010711.1394835</v>
      </c>
      <c r="G34" s="67">
        <f t="shared" si="1"/>
        <v>7.1712291275112831E-8</v>
      </c>
      <c r="H34" s="67">
        <f t="shared" si="2"/>
        <v>8.8968061363186857E-2</v>
      </c>
      <c r="I34" s="67">
        <f t="shared" si="3"/>
        <v>19443586465.513386</v>
      </c>
      <c r="J34">
        <f>IF(E34&lt;=$C$14,$C$12*E34/$C$8,入力!$H$36+(I34-入力!$H$35)/$C$9)</f>
        <v>7.0206459067485413E-7</v>
      </c>
      <c r="K34">
        <f t="shared" si="4"/>
        <v>0.86204981663489966</v>
      </c>
    </row>
    <row r="35" spans="1:11" x14ac:dyDescent="0.15">
      <c r="A35" s="88"/>
      <c r="B35" s="89">
        <f>B3*1000</f>
        <v>1.3567875214450153E-3</v>
      </c>
      <c r="C35" s="89">
        <f>C3/1000000000</f>
        <v>30.380603852364668</v>
      </c>
      <c r="D35" s="88"/>
      <c r="E35">
        <f>E34+入力!$D$14/50</f>
        <v>6600</v>
      </c>
      <c r="F35" s="67">
        <f t="shared" si="0"/>
        <v>6327761045.8625927</v>
      </c>
      <c r="G35" s="67">
        <f t="shared" si="1"/>
        <v>7.3953300377460106E-8</v>
      </c>
      <c r="H35" s="67">
        <f t="shared" si="2"/>
        <v>9.4705044665195873E-2</v>
      </c>
      <c r="I35" s="67">
        <f t="shared" si="3"/>
        <v>20051198542.56068</v>
      </c>
      <c r="J35">
        <f>IF(E35&lt;=$C$14,$C$12*E35/$C$8,入力!$H$36+(I35-入力!$H$35)/$C$9)</f>
        <v>7.3843808682875194E-7</v>
      </c>
      <c r="K35">
        <f t="shared" si="4"/>
        <v>0.93669047533888294</v>
      </c>
    </row>
    <row r="36" spans="1:11" x14ac:dyDescent="0.15">
      <c r="A36" s="88"/>
      <c r="B36" s="89">
        <f>B5*1000</f>
        <v>2.3188015194095975E-2</v>
      </c>
      <c r="C36" s="89">
        <f>C5/1000000000</f>
        <v>34.31535078663714</v>
      </c>
      <c r="D36" s="88"/>
      <c r="E36">
        <f>E35+入力!$D$14/50</f>
        <v>6800</v>
      </c>
      <c r="F36" s="67">
        <f t="shared" si="0"/>
        <v>6519511380.5857019</v>
      </c>
      <c r="G36" s="67">
        <f t="shared" si="1"/>
        <v>7.6194309479807395E-8</v>
      </c>
      <c r="H36" s="67">
        <f t="shared" si="2"/>
        <v>0.10062130869539268</v>
      </c>
      <c r="I36" s="67">
        <f t="shared" si="3"/>
        <v>20658810619.607975</v>
      </c>
      <c r="J36">
        <f>IF(E36&lt;=$C$14,$C$12*E36/$C$8,入力!$H$36+(I36-入力!$H$35)/$C$9)</f>
        <v>7.7481158298264987E-7</v>
      </c>
      <c r="K36">
        <f t="shared" si="4"/>
        <v>1.0142410137351783</v>
      </c>
    </row>
    <row r="37" spans="1:11" x14ac:dyDescent="0.15">
      <c r="A37" s="88"/>
      <c r="B37" s="89">
        <f>B6*1000</f>
        <v>3.2352147649256049E-2</v>
      </c>
      <c r="C37" s="89">
        <f>C6/1000000000</f>
        <v>34.299876907884531</v>
      </c>
      <c r="D37" s="88"/>
      <c r="E37">
        <f>E36+入力!$D$14/50</f>
        <v>7000</v>
      </c>
      <c r="F37" s="67">
        <f t="shared" si="0"/>
        <v>6711261715.3088102</v>
      </c>
      <c r="G37" s="67">
        <f t="shared" si="1"/>
        <v>7.8435318582154656E-8</v>
      </c>
      <c r="H37" s="67">
        <f t="shared" si="2"/>
        <v>0.10671685345377728</v>
      </c>
      <c r="I37" s="67">
        <f t="shared" si="3"/>
        <v>21266422696.655266</v>
      </c>
      <c r="J37">
        <f>IF(E37&lt;=$C$14,$C$12*E37/$C$8,入力!$H$36+(I37-入力!$H$35)/$C$9)</f>
        <v>8.1118507913654758E-7</v>
      </c>
      <c r="K37">
        <f t="shared" si="4"/>
        <v>1.0947014318237853</v>
      </c>
    </row>
    <row r="38" spans="1:11" x14ac:dyDescent="0.15">
      <c r="A38" s="88"/>
      <c r="B38" s="88"/>
      <c r="C38" s="88"/>
      <c r="D38" s="88"/>
      <c r="E38">
        <f>E37+入力!$D$14/50</f>
        <v>7200</v>
      </c>
      <c r="F38" s="67">
        <f t="shared" si="0"/>
        <v>6903012050.0319195</v>
      </c>
      <c r="G38" s="67">
        <f t="shared" si="1"/>
        <v>8.0676327684501945E-8</v>
      </c>
      <c r="H38" s="67">
        <f t="shared" si="2"/>
        <v>0.11299167894034964</v>
      </c>
      <c r="I38" s="67">
        <f t="shared" si="3"/>
        <v>21874034773.70256</v>
      </c>
      <c r="J38">
        <f>IF(E38&lt;=$C$14,$C$12*E38/$C$8,入力!$H$36+(I38-入力!$H$35)/$C$9)</f>
        <v>8.475585752904455E-7</v>
      </c>
      <c r="K38">
        <f t="shared" si="4"/>
        <v>1.1780717296047041</v>
      </c>
    </row>
    <row r="39" spans="1:11" x14ac:dyDescent="0.15">
      <c r="A39" s="88"/>
      <c r="B39" s="88">
        <v>0</v>
      </c>
      <c r="C39" s="88">
        <v>0</v>
      </c>
      <c r="D39" s="88"/>
      <c r="E39">
        <f>E38+入力!$D$14/50</f>
        <v>7400</v>
      </c>
      <c r="F39" s="67">
        <f t="shared" si="0"/>
        <v>7094762384.7550278</v>
      </c>
      <c r="G39" s="67">
        <f t="shared" si="1"/>
        <v>8.2917336786849207E-8</v>
      </c>
      <c r="H39" s="67">
        <f t="shared" si="2"/>
        <v>0.11944578515510981</v>
      </c>
      <c r="I39" s="67">
        <f t="shared" si="3"/>
        <v>22481646850.749855</v>
      </c>
      <c r="J39">
        <f>IF(E39&lt;=$C$14,$C$12*E39/$C$8,入力!$H$36+(I39-入力!$H$35)/$C$9)</f>
        <v>8.8393207144434342E-7</v>
      </c>
      <c r="K39">
        <f t="shared" si="4"/>
        <v>1.2643519070779348</v>
      </c>
    </row>
    <row r="40" spans="1:11" x14ac:dyDescent="0.15">
      <c r="A40" s="88"/>
      <c r="B40" s="89">
        <f>B4*1000</f>
        <v>1.5325119924399981E-3</v>
      </c>
      <c r="C40" s="89">
        <f>C4/1000000000</f>
        <v>34.31535078663714</v>
      </c>
      <c r="D40" s="88"/>
      <c r="E40">
        <f>E39+入力!$D$14/50</f>
        <v>7600</v>
      </c>
      <c r="F40" s="67">
        <f t="shared" si="0"/>
        <v>7286512719.478137</v>
      </c>
      <c r="G40" s="67">
        <f t="shared" si="1"/>
        <v>8.5158345889196495E-8</v>
      </c>
      <c r="H40" s="67">
        <f t="shared" si="2"/>
        <v>0.12607917209805775</v>
      </c>
      <c r="I40" s="67">
        <f t="shared" si="3"/>
        <v>23089258927.797146</v>
      </c>
      <c r="J40">
        <f>IF(E40&lt;=$C$14,$C$12*E40/$C$8,入力!$H$36+(I40-入力!$H$35)/$C$9)</f>
        <v>9.2030556759824103E-7</v>
      </c>
      <c r="K40">
        <f t="shared" si="4"/>
        <v>1.3535419642434772</v>
      </c>
    </row>
    <row r="41" spans="1:11" x14ac:dyDescent="0.15">
      <c r="A41" s="88"/>
      <c r="B41" s="89">
        <f>B5*1000</f>
        <v>2.3188015194095975E-2</v>
      </c>
      <c r="C41" s="89">
        <f>C5/1000000000</f>
        <v>34.31535078663714</v>
      </c>
      <c r="D41" s="88"/>
      <c r="E41">
        <f>E40+入力!$D$14/50</f>
        <v>7800</v>
      </c>
      <c r="F41" s="67">
        <f t="shared" si="0"/>
        <v>7478263054.2012463</v>
      </c>
      <c r="G41" s="67">
        <f t="shared" si="1"/>
        <v>8.739935499154377E-8</v>
      </c>
      <c r="H41" s="67">
        <f t="shared" si="2"/>
        <v>0.13289183976919347</v>
      </c>
      <c r="I41" s="67">
        <f t="shared" si="3"/>
        <v>23696871004.84444</v>
      </c>
      <c r="J41">
        <f>IF(E41&lt;=$C$14,$C$12*E41/$C$8,入力!$H$36+(I41-入力!$H$35)/$C$9)</f>
        <v>9.5667906375213884E-7</v>
      </c>
      <c r="K41">
        <f t="shared" si="4"/>
        <v>1.4456419011013315</v>
      </c>
    </row>
    <row r="42" spans="1:11" x14ac:dyDescent="0.15">
      <c r="A42" s="88"/>
      <c r="B42" s="89">
        <f>B6*1000</f>
        <v>3.2352147649256049E-2</v>
      </c>
      <c r="C42" s="89">
        <f>C6/1000000000</f>
        <v>34.299876907884531</v>
      </c>
      <c r="D42" s="88"/>
      <c r="E42">
        <f>E41+入力!$D$14/50</f>
        <v>8000</v>
      </c>
      <c r="F42" s="67">
        <f t="shared" si="0"/>
        <v>7670013388.9243546</v>
      </c>
      <c r="G42" s="67">
        <f t="shared" si="1"/>
        <v>8.9640364093891045E-8</v>
      </c>
      <c r="H42" s="67">
        <f t="shared" si="2"/>
        <v>0.13988378816851699</v>
      </c>
      <c r="I42" s="67">
        <f t="shared" si="3"/>
        <v>24304483081.891735</v>
      </c>
      <c r="J42">
        <f>IF(E42&lt;=$C$14,$C$12*E42/$C$8,入力!$H$36+(I42-入力!$H$35)/$C$9)</f>
        <v>9.9305255990603687E-7</v>
      </c>
      <c r="K42">
        <f t="shared" si="4"/>
        <v>1.5406517176514978</v>
      </c>
    </row>
    <row r="43" spans="1:11" x14ac:dyDescent="0.15">
      <c r="A43" s="88"/>
      <c r="B43" s="88"/>
      <c r="C43" s="88"/>
      <c r="D43" s="88"/>
      <c r="E43">
        <f>E42+入力!$D$14/50</f>
        <v>8200</v>
      </c>
      <c r="F43" s="67">
        <f t="shared" si="0"/>
        <v>7861763723.6474638</v>
      </c>
      <c r="G43" s="67">
        <f t="shared" si="1"/>
        <v>9.1881373196238321E-8</v>
      </c>
      <c r="H43" s="67">
        <f t="shared" si="2"/>
        <v>0.14705501729602827</v>
      </c>
      <c r="I43" s="67">
        <f t="shared" si="3"/>
        <v>24912095158.939026</v>
      </c>
      <c r="J43">
        <f>IF(E43&lt;=$C$14,$C$12*E43/$C$8,入力!$H$36+(I43-入力!$H$35)/$C$9)</f>
        <v>1.0294260560599345E-6</v>
      </c>
      <c r="K43">
        <f t="shared" si="4"/>
        <v>1.6385714138939758</v>
      </c>
    </row>
    <row r="44" spans="1:11" x14ac:dyDescent="0.15">
      <c r="A44" s="88"/>
      <c r="B44" s="88" t="s">
        <v>258</v>
      </c>
      <c r="C44" s="88" t="s">
        <v>259</v>
      </c>
      <c r="D44" s="88"/>
      <c r="E44">
        <f>E43+入力!$D$14/50</f>
        <v>8400</v>
      </c>
      <c r="F44" s="67">
        <f t="shared" si="0"/>
        <v>8053514058.3705721</v>
      </c>
      <c r="G44" s="67">
        <f t="shared" si="1"/>
        <v>9.4122382298585596E-8</v>
      </c>
      <c r="H44" s="67">
        <f t="shared" si="2"/>
        <v>0.15440552715172731</v>
      </c>
      <c r="I44" s="67">
        <f t="shared" si="3"/>
        <v>25519707235.98632</v>
      </c>
      <c r="J44">
        <f>IF(E44&lt;=$C$14,$C$12*E44/$C$8,入力!$H$36+(I44-入力!$H$35)/$C$9)</f>
        <v>1.0657995522138323E-6</v>
      </c>
      <c r="K44">
        <f t="shared" si="4"/>
        <v>1.7394009898287655</v>
      </c>
    </row>
    <row r="45" spans="1:11" x14ac:dyDescent="0.15">
      <c r="A45" s="88"/>
      <c r="B45" s="88">
        <v>0</v>
      </c>
      <c r="C45" s="88">
        <v>0</v>
      </c>
      <c r="D45" s="88"/>
      <c r="E45">
        <f>E44+入力!$D$14/50</f>
        <v>8600</v>
      </c>
      <c r="F45" s="67">
        <f t="shared" si="0"/>
        <v>8245264393.0936813</v>
      </c>
      <c r="G45" s="67">
        <f t="shared" si="1"/>
        <v>9.6363391400932871E-8</v>
      </c>
      <c r="H45" s="67">
        <f t="shared" si="2"/>
        <v>0.16193531773561415</v>
      </c>
      <c r="I45" s="67">
        <f t="shared" si="3"/>
        <v>26127319313.033615</v>
      </c>
      <c r="J45">
        <f>IF(E45&lt;=$C$14,$C$12*E45/$C$8,入力!$H$36+(I45-入力!$H$35)/$C$9)</f>
        <v>1.1021730483677303E-6</v>
      </c>
      <c r="K45">
        <f t="shared" si="4"/>
        <v>1.8431404454558673</v>
      </c>
    </row>
    <row r="46" spans="1:11" x14ac:dyDescent="0.15">
      <c r="A46" s="88"/>
      <c r="B46" s="90">
        <f>C16</f>
        <v>3.7357621736129087</v>
      </c>
      <c r="C46" s="91">
        <f>C11/1000000</f>
        <v>0.95875167361554436</v>
      </c>
      <c r="D46" s="88"/>
      <c r="E46">
        <f>E45+入力!$D$14/50</f>
        <v>8800</v>
      </c>
      <c r="F46" s="67">
        <f t="shared" si="0"/>
        <v>8437014727.8167906</v>
      </c>
      <c r="G46" s="67">
        <f t="shared" si="1"/>
        <v>9.8604400503280159E-8</v>
      </c>
      <c r="H46" s="67">
        <f t="shared" si="2"/>
        <v>0.1696443890476888</v>
      </c>
      <c r="I46" s="67">
        <f t="shared" si="3"/>
        <v>26734931390.080906</v>
      </c>
      <c r="J46">
        <f>IF(E46&lt;=$C$14,$C$12*E46/$C$8,入力!$H$36+(I46-入力!$H$35)/$C$9)</f>
        <v>1.1385465445216279E-6</v>
      </c>
      <c r="K46">
        <f t="shared" si="4"/>
        <v>1.9497897807752809</v>
      </c>
    </row>
    <row r="47" spans="1:11" x14ac:dyDescent="0.15">
      <c r="A47" s="88"/>
      <c r="B47" s="92">
        <f>C17</f>
        <v>38.305408598672443</v>
      </c>
      <c r="C47" s="91">
        <f>C12/1000000</f>
        <v>3.0380603852364669</v>
      </c>
      <c r="D47" s="88"/>
      <c r="E47">
        <f>E46+入力!$D$14/50</f>
        <v>9000</v>
      </c>
      <c r="F47" s="67">
        <f t="shared" si="0"/>
        <v>8628765062.5398998</v>
      </c>
      <c r="G47" s="67">
        <f t="shared" si="1"/>
        <v>1.0084540960562743E-7</v>
      </c>
      <c r="H47" s="67">
        <f t="shared" si="2"/>
        <v>0.17753274108795125</v>
      </c>
      <c r="I47" s="67">
        <f t="shared" si="3"/>
        <v>27342543467.128201</v>
      </c>
      <c r="J47">
        <f>IF(E47&lt;=$C$14,$C$12*E47/$C$8,入力!$H$36+(I47-入力!$H$35)/$C$9)</f>
        <v>1.1749200406755257E-6</v>
      </c>
      <c r="K47">
        <f t="shared" si="4"/>
        <v>2.0593489957870057</v>
      </c>
    </row>
    <row r="48" spans="1:11" x14ac:dyDescent="0.15">
      <c r="A48" s="88"/>
      <c r="B48" s="93">
        <f>C23</f>
        <v>182.08297969263921</v>
      </c>
      <c r="C48" s="94">
        <f>C19/1000000</f>
        <v>3.4315350786637135</v>
      </c>
      <c r="D48" s="88"/>
      <c r="E48">
        <f>E47+入力!$D$14/50</f>
        <v>9200</v>
      </c>
      <c r="F48" s="67">
        <f t="shared" si="0"/>
        <v>8820515397.2630081</v>
      </c>
      <c r="G48" s="67">
        <f t="shared" si="1"/>
        <v>1.0308641870797471E-7</v>
      </c>
      <c r="H48" s="67">
        <f t="shared" si="2"/>
        <v>0.18560037385640143</v>
      </c>
      <c r="I48" s="67">
        <f t="shared" si="3"/>
        <v>27950155544.175495</v>
      </c>
      <c r="J48">
        <f>IF(E48&lt;=$C$14,$C$12*E48/$C$8,入力!$H$36+(I48-入力!$H$35)/$C$9)</f>
        <v>1.2112935368294236E-6</v>
      </c>
      <c r="K48">
        <f t="shared" si="4"/>
        <v>2.1718180904910427</v>
      </c>
    </row>
    <row r="49" spans="1:11" x14ac:dyDescent="0.15">
      <c r="A49" s="88"/>
      <c r="B49" s="93">
        <f>C26</f>
        <v>240.82704360075937</v>
      </c>
      <c r="C49" s="94">
        <f>C19/1000000</f>
        <v>3.4315350786637135</v>
      </c>
      <c r="D49" s="88"/>
      <c r="E49">
        <f>E48+入力!$D$14/50</f>
        <v>9400</v>
      </c>
      <c r="F49" s="67">
        <f t="shared" si="0"/>
        <v>9012265731.9861164</v>
      </c>
      <c r="G49" s="67">
        <f t="shared" si="1"/>
        <v>1.0532742781032197E-7</v>
      </c>
      <c r="H49" s="67">
        <f t="shared" si="2"/>
        <v>0.19384728735303938</v>
      </c>
      <c r="I49" s="67">
        <f t="shared" si="3"/>
        <v>28557767621.222786</v>
      </c>
      <c r="J49">
        <f>IF(E49&lt;=$C$14,$C$12*E49/$C$8,入力!$H$36+(I49-入力!$H$35)/$C$9)</f>
        <v>1.2476670329833216E-6</v>
      </c>
      <c r="K49">
        <f t="shared" si="4"/>
        <v>2.2871970648873918</v>
      </c>
    </row>
    <row r="50" spans="1:11" x14ac:dyDescent="0.15">
      <c r="A50" s="88"/>
      <c r="B50" s="88"/>
      <c r="C50" s="88"/>
      <c r="D50" s="88"/>
      <c r="E50">
        <f>E49+入力!$D$14/50</f>
        <v>9600</v>
      </c>
      <c r="F50" s="67">
        <f t="shared" si="0"/>
        <v>9204016066.7092247</v>
      </c>
      <c r="G50" s="67">
        <f t="shared" si="1"/>
        <v>1.0756843691266925E-7</v>
      </c>
      <c r="H50" s="67">
        <f t="shared" si="2"/>
        <v>0.20227348157786512</v>
      </c>
      <c r="I50" s="67">
        <f t="shared" si="3"/>
        <v>29165379698.270081</v>
      </c>
      <c r="J50">
        <f>IF(E50&lt;=$C$14,$C$12*E50/$C$8,入力!$H$36+(I50-入力!$H$35)/$C$9)</f>
        <v>1.2840405291372194E-6</v>
      </c>
      <c r="K50">
        <f t="shared" si="4"/>
        <v>2.4054859189760531</v>
      </c>
    </row>
    <row r="51" spans="1:11" x14ac:dyDescent="0.15">
      <c r="A51" s="88"/>
      <c r="B51" s="88">
        <v>0</v>
      </c>
      <c r="C51" s="88">
        <v>0</v>
      </c>
      <c r="D51" s="88"/>
      <c r="E51">
        <f>E50+入力!$D$14/50</f>
        <v>9800</v>
      </c>
      <c r="F51" s="67">
        <f t="shared" si="0"/>
        <v>9395766401.4323349</v>
      </c>
      <c r="G51" s="67">
        <f t="shared" si="1"/>
        <v>1.0980944601501653E-7</v>
      </c>
      <c r="H51" s="67">
        <f t="shared" si="2"/>
        <v>0.21087895653087865</v>
      </c>
      <c r="I51" s="67">
        <f t="shared" si="3"/>
        <v>29772991775.317375</v>
      </c>
      <c r="J51">
        <f>IF(E51&lt;=$C$14,$C$12*E51/$C$8,入力!$H$36+(I51-入力!$H$35)/$C$9)</f>
        <v>1.3204140252911174E-6</v>
      </c>
      <c r="K51">
        <f t="shared" si="4"/>
        <v>2.5266846527570257</v>
      </c>
    </row>
    <row r="52" spans="1:11" x14ac:dyDescent="0.15">
      <c r="A52" s="88"/>
      <c r="B52" s="90">
        <f>C20</f>
        <v>43.266537409084457</v>
      </c>
      <c r="C52" s="94">
        <f>C19/1000000</f>
        <v>3.4315350786637135</v>
      </c>
      <c r="D52" s="88"/>
      <c r="E52">
        <f>E51+入力!$D$14/50</f>
        <v>10000</v>
      </c>
      <c r="F52" s="67">
        <f t="shared" si="0"/>
        <v>9587516736.1554432</v>
      </c>
      <c r="G52" s="67">
        <f t="shared" si="1"/>
        <v>1.120504551173638E-7</v>
      </c>
      <c r="H52" s="67">
        <f t="shared" si="2"/>
        <v>0.21966371221208</v>
      </c>
      <c r="I52" s="67">
        <f t="shared" si="3"/>
        <v>30380603852.364666</v>
      </c>
      <c r="J52">
        <f>IF(E52&lt;=$C$14,$C$12*E52/$C$8,入力!$H$36+(I52-入力!$H$35)/$C$9)</f>
        <v>1.3567875214450148E-6</v>
      </c>
      <c r="K52">
        <f t="shared" si="4"/>
        <v>2.65079326623031</v>
      </c>
    </row>
    <row r="53" spans="1:11" x14ac:dyDescent="0.15">
      <c r="A53" s="88"/>
      <c r="B53" s="93">
        <f>C23</f>
        <v>182.08297969263921</v>
      </c>
      <c r="C53" s="94">
        <f>C19/1000000</f>
        <v>3.4315350786637135</v>
      </c>
      <c r="D53" s="88"/>
    </row>
    <row r="54" spans="1:11" x14ac:dyDescent="0.15">
      <c r="A54" s="88"/>
      <c r="B54" s="93">
        <f>C26</f>
        <v>240.82704360075937</v>
      </c>
      <c r="C54" s="94">
        <f>C19/1000000</f>
        <v>3.4315350786637135</v>
      </c>
      <c r="D54" s="88"/>
    </row>
  </sheetData>
  <phoneticPr fontId="3"/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使い方</vt:lpstr>
      <vt:lpstr>入力</vt:lpstr>
      <vt:lpstr>初降伏</vt:lpstr>
      <vt:lpstr>終局2</vt:lpstr>
      <vt:lpstr>終局3-1</vt:lpstr>
      <vt:lpstr>終局3-2</vt:lpstr>
      <vt:lpstr>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伊津野</dc:creator>
  <cp:lastModifiedBy>Izuno</cp:lastModifiedBy>
  <dcterms:created xsi:type="dcterms:W3CDTF">2013-02-04T03:12:27Z</dcterms:created>
  <dcterms:modified xsi:type="dcterms:W3CDTF">2019-04-17T08:08:00Z</dcterms:modified>
</cp:coreProperties>
</file>